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Galir\Downloads\"/>
    </mc:Choice>
  </mc:AlternateContent>
  <xr:revisionPtr revIDLastSave="0" documentId="13_ncr:1_{30E379C8-6ACA-4710-A647-F1461835110A}" xr6:coauthVersionLast="47" xr6:coauthVersionMax="47" xr10:uidLastSave="{00000000-0000-0000-0000-000000000000}"/>
  <bookViews>
    <workbookView xWindow="-120" yWindow="-120" windowWidth="29040" windowHeight="15720" xr2:uid="{00000000-000D-0000-FFFF-FFFF00000000}"/>
  </bookViews>
  <sheets>
    <sheet name="Projekti u provedbi" sheetId="1" r:id="rId1"/>
    <sheet name="Završeni projekti"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1" l="1"/>
  <c r="E53" i="2"/>
  <c r="F53" i="2"/>
  <c r="G53" i="2"/>
  <c r="H53" i="2"/>
  <c r="E54" i="2"/>
  <c r="F54" i="2"/>
  <c r="G54" i="2"/>
  <c r="H54" i="2"/>
  <c r="G17" i="1"/>
  <c r="H17" i="1" s="1"/>
  <c r="G13" i="1"/>
  <c r="H13" i="1" s="1"/>
  <c r="G14" i="1"/>
  <c r="H14" i="1" s="1"/>
  <c r="G44" i="2"/>
  <c r="F44" i="2"/>
  <c r="E44" i="2"/>
  <c r="H43" i="2"/>
  <c r="G43" i="2"/>
  <c r="F43" i="2"/>
  <c r="E43" i="2"/>
  <c r="E27" i="2" l="1"/>
  <c r="E14" i="2"/>
  <c r="E40" i="2" l="1"/>
  <c r="F40" i="2"/>
  <c r="H16" i="1" l="1"/>
  <c r="H31" i="1" s="1"/>
  <c r="G16" i="1"/>
  <c r="F16" i="1"/>
  <c r="E16" i="1"/>
  <c r="G15" i="1"/>
  <c r="F15" i="1"/>
  <c r="E15" i="1"/>
  <c r="E31" i="1" l="1"/>
  <c r="F31" i="1"/>
  <c r="H64" i="2"/>
  <c r="G64" i="2"/>
  <c r="F64" i="2"/>
  <c r="E64" i="2"/>
  <c r="H12" i="2" l="1"/>
  <c r="H11" i="2"/>
  <c r="H14" i="2"/>
  <c r="G14" i="2"/>
  <c r="F14" i="2"/>
  <c r="H24" i="2"/>
  <c r="H27" i="2"/>
  <c r="H28" i="2"/>
  <c r="H38" i="2"/>
  <c r="H37" i="2"/>
  <c r="H36" i="2"/>
  <c r="H35" i="2"/>
  <c r="H34" i="2"/>
  <c r="H33" i="2"/>
  <c r="H29" i="2"/>
  <c r="G20" i="2"/>
  <c r="F20" i="2"/>
  <c r="E20" i="2"/>
  <c r="F21" i="2"/>
  <c r="G21" i="2"/>
  <c r="E21" i="2"/>
  <c r="G23" i="2"/>
  <c r="F23" i="2"/>
  <c r="E23" i="2"/>
  <c r="H25" i="2"/>
  <c r="G25" i="2"/>
  <c r="F25" i="2"/>
  <c r="E25" i="2"/>
  <c r="G31" i="2"/>
  <c r="F31" i="2"/>
  <c r="E31" i="2"/>
  <c r="H21" i="2" l="1"/>
  <c r="E34" i="2"/>
  <c r="H10" i="2" l="1"/>
  <c r="H55" i="2" s="1"/>
  <c r="G10" i="2"/>
  <c r="G55" i="2" s="1"/>
  <c r="F10" i="2"/>
  <c r="F55" i="2" s="1"/>
  <c r="E10" i="2"/>
  <c r="E55" i="2" s="1"/>
  <c r="H67" i="2" l="1"/>
  <c r="E67" i="2"/>
  <c r="F67" i="2"/>
  <c r="G67" i="2"/>
</calcChain>
</file>

<file path=xl/sharedStrings.xml><?xml version="1.0" encoding="utf-8"?>
<sst xmlns="http://schemas.openxmlformats.org/spreadsheetml/2006/main" count="635" uniqueCount="338">
  <si>
    <t>Upravni odjel za programe Europske unije</t>
  </si>
  <si>
    <t>RB</t>
  </si>
  <si>
    <t>Naziv projekta</t>
  </si>
  <si>
    <t>Nositelj</t>
  </si>
  <si>
    <t>Partneri</t>
  </si>
  <si>
    <t>Iznos sufinanciranja u %</t>
  </si>
  <si>
    <t>Sufinanciranje plaća</t>
  </si>
  <si>
    <t>Status</t>
  </si>
  <si>
    <t>Rok za provedbu projekta</t>
  </si>
  <si>
    <t>PROJEKTI U PROVEDBI</t>
  </si>
  <si>
    <t>2.</t>
  </si>
  <si>
    <t>Tehnička pomoć ITU PT Osijek</t>
  </si>
  <si>
    <t>Grad Osijek</t>
  </si>
  <si>
    <t>Da</t>
  </si>
  <si>
    <t>3.</t>
  </si>
  <si>
    <t>Razvoj i unaprijeđenje osječke Tvrđe (Infrastruktura Tvrđe), ITU</t>
  </si>
  <si>
    <t>Agencija za obnovu osječke Tvrđe</t>
  </si>
  <si>
    <t>ne</t>
  </si>
  <si>
    <t>IT park</t>
  </si>
  <si>
    <t>NE</t>
  </si>
  <si>
    <t>U provedbi od 19.6. 2020.</t>
  </si>
  <si>
    <t>5.</t>
  </si>
  <si>
    <t>Centar za posjetitelje "Tvrđa"</t>
  </si>
  <si>
    <t>18.6. 2022.</t>
  </si>
  <si>
    <t>6.</t>
  </si>
  <si>
    <t>Biciklističke staze Osijek-Bilje i Osijek-Tenja</t>
  </si>
  <si>
    <t>Ne</t>
  </si>
  <si>
    <t>7.</t>
  </si>
  <si>
    <t>E mobilnost</t>
  </si>
  <si>
    <t>8.</t>
  </si>
  <si>
    <t>GreEnergy</t>
  </si>
  <si>
    <t>Univerzitet u Novom Sadu, PMF</t>
  </si>
  <si>
    <t xml:space="preserve">Grad Osijek, Grad Novi Sad, Sveučilište J.J. Strossmayera u Osijeku -Građevinski fakultet Osijek, JKP "Gradsko zelenilo" Novi Sad, </t>
  </si>
  <si>
    <t>9.</t>
  </si>
  <si>
    <t>LIFE; I-Share</t>
  </si>
  <si>
    <t>FNM S.p.A., Italija</t>
  </si>
  <si>
    <t>10.</t>
  </si>
  <si>
    <t>REDISCOVER DTP2-084-2.2</t>
  </si>
  <si>
    <t>Grad Segedin (Mađarska)</t>
  </si>
  <si>
    <t>gradovi Galati i Temišvar (Rumunjska), Grad Regensburg – Uprava za svjetsku baštinu, Institut za kulturu, turizam i sport Murske Sobote, Grad Osijek, Gradski muzej Subotica, Općina Kotor i Grad Banja Luka + pridruženi strateški partneri: Grad Subotica, Grad Murska Sobota, Židovska općina Segedin, Židovska općina Temišvar, Židovska općina Osijek, Židovska zajednica Crne Gore, Židovska općina Banja Luka te Rumunjski Institut za istraživanja o nacionalnim manjinama.</t>
  </si>
  <si>
    <t>11.</t>
  </si>
  <si>
    <t xml:space="preserve">Leibniz Institute for Regional Geography Germany / </t>
  </si>
  <si>
    <t xml:space="preserve">
Escartons e Valli Valdesi (I);  Diakonie Mitteldeutschland (D); Informativno pravni centar - HR;  Union Montania della Mongia (I); UNCEM  (I); Zapadnočeska univerzita v Plzni (CZ); Središče Rotunda Koper (SL); Univerzitet Szczecinski (PL); Grad Osijek(HR); Municipality of Koper (SL) ; Pilsen Region (CZ)</t>
  </si>
  <si>
    <t>12.</t>
  </si>
  <si>
    <t>Grad Dresden (DE)</t>
  </si>
  <si>
    <t>Grad Osijek i dr.</t>
  </si>
  <si>
    <t>13.</t>
  </si>
  <si>
    <t>Aerial Uptake (Interreg Europe)</t>
  </si>
  <si>
    <t>Grad Enschede (NL)</t>
  </si>
  <si>
    <t>Grad Osijek, gradovi, regije i institucije iz Nizozemske, Španjolske, Poljske, Velike Britanije i Švedske</t>
  </si>
  <si>
    <t>14.</t>
  </si>
  <si>
    <t>OSIgurajmo im JEdnaKost 4</t>
  </si>
  <si>
    <t>Centar za odgoj i obrazovanje "Ivan Štark", OŠ Višnjevac, OŠ T. Ujević, OŠ Sv. Ane, OŠ A. Mihanovića, OŠ Vijenac, OŠ J. Truhelke, OŠ Mladost, OŠ F. Krežme, OŠ F. K. Frankopana, OŠ I. Filipovića, OŠ A. Šenoe, OŠ V. Becića, OŠ Retfala, OŠ Josipovac, OŠ Lj. Gaja</t>
  </si>
  <si>
    <t>15.</t>
  </si>
  <si>
    <t xml:space="preserve"> Energetska obnova zgrade Osnovne škole Mladost, Osijek na adresi Sjenjak 7, Osijek 
KK.04.2.1.04.0197.</t>
  </si>
  <si>
    <t>16.</t>
  </si>
  <si>
    <t>Energetska obnova zgrade Dječjeg vrtića Latica, Osijek na adresi Vijenac Augusta Cesarca 15, Osijek 
KK.04.2.1.04.0540</t>
  </si>
  <si>
    <t>17.</t>
  </si>
  <si>
    <t>Energetska obnova zgrade Dječjeg vrtića Radost, Osijek na adresi Zagrebačka ulica 10, Osijek 
KK.04.2.1.04.0196.</t>
  </si>
  <si>
    <t>18.</t>
  </si>
  <si>
    <t>1.</t>
  </si>
  <si>
    <t>Gospodarski centar</t>
  </si>
  <si>
    <t>Napomena:</t>
  </si>
  <si>
    <t>*tečaj preporučen od UT-a za ITU projekte 1€ =7,6 HRK</t>
  </si>
  <si>
    <t>4.</t>
  </si>
  <si>
    <t xml:space="preserve"> Grad Osijek</t>
  </si>
  <si>
    <t>OBŽ</t>
  </si>
  <si>
    <t>UKUPNO PROJEKTI U PROVEDBI:</t>
  </si>
  <si>
    <t>Upravni odjel Grada koji provodi projekt</t>
  </si>
  <si>
    <t>Upravni odjel za društvene djelatnosti</t>
  </si>
  <si>
    <t>Upravni odjel za graditeljstvo, energetsku učinkovitost i zaštitu okoliša</t>
  </si>
  <si>
    <t>Upravni odjel za socijalnu zaštitu, umirovljenike i zdravstvo</t>
  </si>
  <si>
    <t>Umirovljenici zajedno protiv socijalne isključenosti</t>
  </si>
  <si>
    <t>Ukupna vrijednost projekta u HRK</t>
  </si>
  <si>
    <t>IZNOS EU SU-FINANCIRANJA/HRK ZA GRAD OSIJEK</t>
  </si>
  <si>
    <t>Potrebna sredstva iz Proračuna Grada u HRK</t>
  </si>
  <si>
    <t xml:space="preserve">
11.396.774,74 kn</t>
  </si>
  <si>
    <t>U provedbi od 5.10.2020.</t>
  </si>
  <si>
    <t>Dodatno sufinanciranje projekta iz ostalih fondova i izvora</t>
  </si>
  <si>
    <t xml:space="preserve">Energetska obnova zgrade Dječjeg vrtića Potočnica na adresi ulica Izidora Kršnjavog 29, Osijek
</t>
  </si>
  <si>
    <t xml:space="preserve">
</t>
  </si>
  <si>
    <t>MDOMSP 15%</t>
  </si>
  <si>
    <t>31.12.2022.</t>
  </si>
  <si>
    <t>19.</t>
  </si>
  <si>
    <t>20.</t>
  </si>
  <si>
    <t>Oborinska odvodnja IZ Nemetin</t>
  </si>
  <si>
    <t>Iznos namijenjen za projektne aktivnosti Grada Osijeka, u HRK</t>
  </si>
  <si>
    <t>Projekti Grada Osijeka sufinancirani sredstvima Europske unije u provedbi, prijavljeni ili u pripremi</t>
  </si>
  <si>
    <t>U provedbi od 1.8. 2019.</t>
  </si>
  <si>
    <t>Arrival Regions</t>
  </si>
  <si>
    <t>21.</t>
  </si>
  <si>
    <t xml:space="preserve">Inclusive Community </t>
  </si>
  <si>
    <t>Volonterski Centar Osijek</t>
  </si>
  <si>
    <t>Grad Osijek; Gradsko društvo Crvenog križa; Novosadski humanitarni centar; Pokrajinski zavod za socijalnu zaštitu</t>
  </si>
  <si>
    <t>Završeni projekti Grada Osijeka sufinancirani sredstvima Europske unije</t>
  </si>
  <si>
    <t>ZAVRŠENI PROJEKTI</t>
  </si>
  <si>
    <t>UKUPNO ZAVRŠENI PROJEKTI:</t>
  </si>
  <si>
    <t>Studija prometnog razvoja grada Osijeka, K.K.07.4.2.01.0001</t>
  </si>
  <si>
    <t>Završen</t>
  </si>
  <si>
    <t>SUECH; Interreg HUHR</t>
  </si>
  <si>
    <t>OIE; RRA SiB; EU Centar; INNO-MOTIVE Regional Development; Grad Kozarmisleny</t>
  </si>
  <si>
    <t>Energetska obnova OŠ A. Mihanovića; KK.04.2.1.03.0042</t>
  </si>
  <si>
    <t>Energetska obnova OŠ G. Vitez; KK.04.2.1.03.0192</t>
  </si>
  <si>
    <t xml:space="preserve">Škole Jednakih mogućnosti 2 </t>
  </si>
  <si>
    <t>14 škola sa područja Grada Osijeka - A.Šenoa; D.Cesarić; F.K.Frankopan; F.Krežme; I.Filipovoć; J.Truhelke; Josipovac; Lj.Gaja; Mladost; Retfala; Tenja; T.Ujević; Vijenac; Višnjevac</t>
  </si>
  <si>
    <t>AustriaTech, Beč</t>
  </si>
  <si>
    <t xml:space="preserve"> Shareplace; CE1126 - Interreg CE</t>
  </si>
  <si>
    <t>Izobrazno-informativne aktivnosti iz područja gospodarenja otpadom u gradu Osijeku - "Čist grad - naš ponOS", KK.06.3.1.07.0082</t>
  </si>
  <si>
    <t>Izgradnja reciklažnog dvorišta "Retfala", KK.06.3.1.03.0092</t>
  </si>
  <si>
    <t>Izgradnja reciklažnog dvorišta "Gornji grad", KK.06.3.1.03.0093</t>
  </si>
  <si>
    <t>Subotica Osijek Secession Tourist Route (S.O.S. )</t>
  </si>
  <si>
    <t>TZ grada Osijeka</t>
  </si>
  <si>
    <t>Grad Osijek, Grad Subotica, TO grada Subotice i RRA SiB</t>
  </si>
  <si>
    <t>ES-GEES</t>
  </si>
  <si>
    <t>Partneri RRA SiB, RRA Bačka, Obnovljivi izvori energije, Mileva Marić Ajnštajn</t>
  </si>
  <si>
    <t>Priprema Programa obnove i upravljanja kulturnim dobrima osječke Tvrđe, KK.06.1.1.01.0067</t>
  </si>
  <si>
    <t>RealForAll (HR-RS151)</t>
  </si>
  <si>
    <t>Institut BioSens, Novi Sad</t>
  </si>
  <si>
    <t>PMF Univerziteta u Novom Sadu, Odjel za matematiku Sveučilišta J.J. Strossmayera u Osijeku, Grad Osijek</t>
  </si>
  <si>
    <t>Rekonstrukcija i opremanje hardverskog laboratorija Poduzetničkog inkubatora BIOS-a (Hardware Lab)</t>
  </si>
  <si>
    <t>BIOS d.o.o</t>
  </si>
  <si>
    <t>IMPULSE (Integrated Management Support for Energy efficiency in Mediterranean Public buildings)</t>
  </si>
  <si>
    <t>Centre for renewable energy sources and saving</t>
  </si>
  <si>
    <t>Municipality of Heraklion (Grčka), Valencia Institute of building , Elche City Council (Španjolska), EnvirobatBDM, Equipment and development regional agency from Provence - Alpes - Cote d' Azur (Francuska), Municipality of Ravenna (Italija), Energetski institut Hrvoje Požar, Grad Osijek (Hrvatska), Grad Mostar (BiH)</t>
  </si>
  <si>
    <t>31.7.2019.</t>
  </si>
  <si>
    <t>Škole Jednakih mogućnosti 3</t>
  </si>
  <si>
    <t>22.07.2019.</t>
  </si>
  <si>
    <t>22.</t>
  </si>
  <si>
    <t>23.</t>
  </si>
  <si>
    <t>24.</t>
  </si>
  <si>
    <t>26.09. 2013. - 31.08. 2015.</t>
  </si>
  <si>
    <t>Mlinarev put (Vodenica) HUHR/1101/1.2.3/0012</t>
  </si>
  <si>
    <t xml:space="preserve"> Masterplan prometnog razvoja Grada Osijeka i Osječko - baranjske županije</t>
  </si>
  <si>
    <t>svibanj 2015. – studeni 2016.</t>
  </si>
  <si>
    <t>Razvoj poslovne i komunalne infrastrukture u Eko-industrijskoj zoni Nemetin</t>
  </si>
  <si>
    <t>1. 10. 2014. do 30.9. 2016</t>
  </si>
  <si>
    <t>1.6.2015.-31.5.2017.</t>
  </si>
  <si>
    <t>Sanacija odlagališta Filipovica</t>
  </si>
  <si>
    <t>svibanj 2014. - listopad 2016.</t>
  </si>
  <si>
    <t xml:space="preserve">  OSIgurajmo im JEdnaKost 2</t>
  </si>
  <si>
    <t>12 mjeseci: 9.2015.-8.2016.</t>
  </si>
  <si>
    <t>Zrinski-Sulejman thematic route development in the cross-border region</t>
  </si>
  <si>
    <t>14 mjeseci - 1.9.2015. - 31.10.2016.</t>
  </si>
  <si>
    <t xml:space="preserve">Izrada analize stanja tramvajske mreže u gradu Osijeku </t>
  </si>
  <si>
    <t>9 mjeseci - 1.1. - 30.9.2016.</t>
  </si>
  <si>
    <t>24.8.2016. - 30.6.2017.</t>
  </si>
  <si>
    <t xml:space="preserve">  OSIgurajmo im JEdnaKost 3</t>
  </si>
  <si>
    <t>12 mjeseci: 22.8.2016.-16.8.2017.</t>
  </si>
  <si>
    <t>Izrada projektne dokumentacije za energetsku obnovu škola i vrtića grada Osijeka i korištenje OIE</t>
  </si>
  <si>
    <t>ODNOSI SE NA PROJEKTE OD 6.MJ. 2013. NADALJE</t>
  </si>
  <si>
    <t>Trajanje provedbe projekta / datum završetka projekta</t>
  </si>
  <si>
    <t>Upravni odjel Grada koji je proveo projekt</t>
  </si>
  <si>
    <t>22.8. 2014. - 21.8. 2015.</t>
  </si>
  <si>
    <t xml:space="preserve">Grad Osijek </t>
  </si>
  <si>
    <t xml:space="preserve">Malomko Alapitvany Orfu, TZ Osijek, NGO Vodenica i RRA </t>
  </si>
  <si>
    <t>Grad Osijek, OBŽ, gradovi Valpovo, Belišće, Našice, Donji Miholjac, Đakovo i Beli Manastir</t>
  </si>
  <si>
    <t xml:space="preserve">  RRA SiB</t>
  </si>
  <si>
    <t xml:space="preserve">RRA SiB, udruga EU centar </t>
  </si>
  <si>
    <t>Centar za odgoj i obrazovanje "Ivan Štark", udruga Mogu - terapijsko, sportsko i rekreativno jahanje</t>
  </si>
  <si>
    <t>Grad Osijek, AGENCIJA ZA PRAVNI PROMET I POSREDOVANJE NEKRETNINAMA, MEĐUNARODNI CENTAR ZA ODRZIVI RAZVOJ ENERGETIKE VODA I OKOLIŠA,  BILBOKO BERREGOKIPENERAKO HIRIGINTZA ELKARTEA SA - SURBISA, Vivienda y Suelo de Euskadi, S.A, ENTE VASCO DE LA ENERGIA, NEDERLANDSE ORGANISATIE VOOR TOEGEPAST NATUURWETENSCHAPPELIJK ONDERZOEK – TNO, GEMEENTE UTRECHT, ASM CENTRUM BADAN I ANALIZ RYNKU SP. Z O O</t>
  </si>
  <si>
    <t>FosterREG; Horizon2020</t>
  </si>
  <si>
    <t xml:space="preserve">Grad Osijek           </t>
  </si>
  <si>
    <t xml:space="preserve"> 17 osnovnih škola Grada Osijeka</t>
  </si>
  <si>
    <t xml:space="preserve"> COO I. Štark i 13 osnovnih škola Grada Osijeka</t>
  </si>
  <si>
    <t xml:space="preserve">Grad Osijek                 </t>
  </si>
  <si>
    <t xml:space="preserve">14 osnovnih škola Grada Osijeka - isto kao i u projektu Škole jednakih mogućnosti 2 </t>
  </si>
  <si>
    <t>Nositelj / koordinator: Fondacija Tecnalia - Deiro u Španjolskoj (Fundacion Tecnalia Research &amp; Innovation)</t>
  </si>
  <si>
    <t>25.</t>
  </si>
  <si>
    <t>26.</t>
  </si>
  <si>
    <t>27.</t>
  </si>
  <si>
    <t>28.</t>
  </si>
  <si>
    <t>29.</t>
  </si>
  <si>
    <t>30.</t>
  </si>
  <si>
    <t> 2.362.500,00</t>
  </si>
  <si>
    <t>29.8. 2018. - 29. 4. 2020.</t>
  </si>
  <si>
    <t>Upravni odjel za programe Europske unije i Upravni odjel za graditeljstvo, energetsku učinkovitost i zaštitu okoliša</t>
  </si>
  <si>
    <t>1.6.2017.- 31.5. 2018.</t>
  </si>
  <si>
    <t>1.8. 2017. - 31.1.2019.</t>
  </si>
  <si>
    <t>30.6.2018.</t>
  </si>
  <si>
    <t>3.406.920,00 </t>
  </si>
  <si>
    <t>3.723.521,00 </t>
  </si>
  <si>
    <t>19.7.2018. - 31.3. 2020.</t>
  </si>
  <si>
    <t>19.7. 2018. - 31.3. 2020.</t>
  </si>
  <si>
    <t xml:space="preserve">
52.617.194,49 </t>
  </si>
  <si>
    <t>1.2. 2017. - 1.2. 2020</t>
  </si>
  <si>
    <t>Napomena</t>
  </si>
  <si>
    <t xml:space="preserve">Ukupni prihvatljivi troškovi bili su 62.570.187,78 kn </t>
  </si>
  <si>
    <t>U provedbi od 20.1. 2020.</t>
  </si>
  <si>
    <t>4.976.508,96 </t>
  </si>
  <si>
    <t>2.12. 2017. - 1.9.2019</t>
  </si>
  <si>
    <t>17 osnovnih škola Grada Osijeka</t>
  </si>
  <si>
    <t>Grad Szigetvar</t>
  </si>
  <si>
    <t>Grad Osijek, TZ grada Osijeka, Općina Darda</t>
  </si>
  <si>
    <t>Škole jednakih mogućnosti; FEAD - Fond europske pomoći za najpotrebitije</t>
  </si>
  <si>
    <t>OSIgurajmo im JEdnaKost,    HR 2.2.04-0022</t>
  </si>
  <si>
    <t>0,00</t>
  </si>
  <si>
    <t>1.9. 2016. - 31.52017.</t>
  </si>
  <si>
    <t>1.012.263</t>
  </si>
  <si>
    <t>860.423,55</t>
  </si>
  <si>
    <t xml:space="preserve">Ukupni prihvatljivi troškovi bili su 5.020.404,83 kn </t>
  </si>
  <si>
    <t xml:space="preserve">Dodatno sufinanciranje 60% gradskog udjela iz Fonda MRRFEU za sufinanciranje projektata </t>
  </si>
  <si>
    <t>Rotor kreativne industrije</t>
  </si>
  <si>
    <t>Kulturni centar Osijek</t>
  </si>
  <si>
    <t>Grad Osijek i udruga ANDIZET</t>
  </si>
  <si>
    <t>Da - MRMSOSP 15%</t>
  </si>
  <si>
    <t>KolOsijek</t>
  </si>
  <si>
    <t>ZAVRŠENI PROJEKTI FINANCIRANI IZ NACIONALNIH IZVORA:</t>
  </si>
  <si>
    <t>Izvor financiranja</t>
  </si>
  <si>
    <t xml:space="preserve">
Dječji vrtić „Ribica“ </t>
  </si>
  <si>
    <t>FZOEU</t>
  </si>
  <si>
    <t>Projekt uređenja „WINE TOUR – eno-gastro interpretacijski centar“</t>
  </si>
  <si>
    <t xml:space="preserve">Ministarstvo turizma </t>
  </si>
  <si>
    <t xml:space="preserve">Projekt Uređenje Gradskog kupališta Copacabana </t>
  </si>
  <si>
    <t>UKUPNO:</t>
  </si>
  <si>
    <t>UKUPNO SVI ZAVRŠENI PROJEKTI:</t>
  </si>
  <si>
    <t xml:space="preserve">Škole jednakih mogućnosti 5 </t>
  </si>
  <si>
    <t xml:space="preserve">  U provedbi od 01.02.2021. </t>
  </si>
  <si>
    <t xml:space="preserve"> 31.01.2023. </t>
  </si>
  <si>
    <t xml:space="preserve">Gradsko društvo Crvenog križa Osijek, Dkolektiv ,
Umiorvljenici zajedno </t>
  </si>
  <si>
    <t>osnovne škole s područja Grada</t>
  </si>
  <si>
    <t>31.</t>
  </si>
  <si>
    <t>Škole jednakih mogućnosti 4</t>
  </si>
  <si>
    <t xml:space="preserve">30.03.2020. – 30.07.2020. </t>
  </si>
  <si>
    <t>U provedbi od  15.2.2021.</t>
  </si>
  <si>
    <t>14.12. 2022.</t>
  </si>
  <si>
    <t>U provedbi od  17.2.2021.</t>
  </si>
  <si>
    <t>16.2. 2023.</t>
  </si>
  <si>
    <t>U provedbi od 8.2. 2019.</t>
  </si>
  <si>
    <t xml:space="preserve"> 8.12. 2022.</t>
  </si>
  <si>
    <t xml:space="preserve">U provedbi od 1. 6. 2020. </t>
  </si>
  <si>
    <t>31. 5. 2022.</t>
  </si>
  <si>
    <t>Energetska obnova zgrade Osnovne škole Vijenac na adresi Vijenac Ivana Meštrovića 36, Osijek, KK.04.2.1.04.0195</t>
  </si>
  <si>
    <t>U provedbi od 19.10. 2018.</t>
  </si>
  <si>
    <t>Energetska obnova zgrade Osnovne škole Franje Krežme na adresi Školska ulica 3, Osijek, KK.04.2.1.04.0198</t>
  </si>
  <si>
    <t>U provedbi od 28.11.2018.</t>
  </si>
  <si>
    <t>U provedbi od 8.5.2020</t>
  </si>
  <si>
    <t xml:space="preserve">                                                                                                                       Ekonomska integracija izbjeglica kroz socijalno poduzetništvo
</t>
  </si>
  <si>
    <t xml:space="preserve">Znanstveno-istraživački centar Koper iz Slovenije
</t>
  </si>
  <si>
    <t xml:space="preserve">Grad Osijek, Primorski tehnološki park (Slovenija), talijansko Sveučilište Alma Mater Studiorum – Universita’ di Bologna, Općina Brindisi (Italija), Helensko otvoreno sveučilište (Grčka), Regionalna razvojna agencija Srem (Srbija), Javna ustanova „Razvojna agencija Unsko–sanskog kantona“ (Bosna i Hercegovina)
</t>
  </si>
  <si>
    <t>MRRFEU - Fond za sufinanciranje projekata na lokalnoj i regionalnoj razini (1.206.717,34 kn)</t>
  </si>
  <si>
    <t>31.12. 2023.</t>
  </si>
  <si>
    <t> 63.750.872,74</t>
  </si>
  <si>
    <t>U provedbi od 1.3. 2021.</t>
  </si>
  <si>
    <t>1.9. 2023.</t>
  </si>
  <si>
    <t>32.</t>
  </si>
  <si>
    <t xml:space="preserve"> 1.4. 2019. - 31.3.2021.</t>
  </si>
  <si>
    <t>Ured Gradonačelnika - protokol i promidžba i Upravni odjel za programe Europske unije</t>
  </si>
  <si>
    <t>Regiamobil, Interreg CEB15B17:D18</t>
  </si>
  <si>
    <t>U provedbi od 4.6. 2016.</t>
  </si>
  <si>
    <t>31.1. 2023.</t>
  </si>
  <si>
    <t>Fond za sufinanciranje projekata na lokal. i region. razini  MRRFEU: 9.382.986,31 kn</t>
  </si>
  <si>
    <t xml:space="preserve">Fond za sufinanciranje projekata na lokal. i region. razini  MRRFEU: 1.130.002,89 kn  </t>
  </si>
  <si>
    <t>Fond za sufinanciranje projekata na lokal. i region. razini  MRRFEU: 3.000.000 kn</t>
  </si>
  <si>
    <t>19.10. 2018.-30.4. 2021.</t>
  </si>
  <si>
    <t xml:space="preserve"> 16.8. 2017. - 15.8. 2021.</t>
  </si>
  <si>
    <t>OSIgurajmo im JEdnaKost 5</t>
  </si>
  <si>
    <t>svih 22 osnovne škole s područja grada Osijeka</t>
  </si>
  <si>
    <t xml:space="preserve"> 1.7.2018. - 30.6. 2021.</t>
  </si>
  <si>
    <t xml:space="preserve"> 1.6.2018. - 31.5. 2021.</t>
  </si>
  <si>
    <t>SMART RIVER - Interreg Adrion</t>
  </si>
  <si>
    <t>BeePathNet - Interreg Urbact III</t>
  </si>
  <si>
    <t>Grad Ljubljana</t>
  </si>
  <si>
    <t>Grad Osijek,  Grad Bansko (Bugarska), Grad  Bergamo (Italija)</t>
  </si>
  <si>
    <t>U provedbi od 14.6 2021.</t>
  </si>
  <si>
    <t>31.12. 2022.</t>
  </si>
  <si>
    <t>U provedbi od 1.6. 2021.</t>
  </si>
  <si>
    <t>31.5. 2023.</t>
  </si>
  <si>
    <t>Općina Senigallia (Italija)</t>
  </si>
  <si>
    <t>Grad Osijek, Agencija za ruralni razvoj Zadarske županije, Regija Marche (Italija), Općina Patras (Grčka), Grad Maribor, Regionalna razvojna agencija Podravja,  Sarajevska regionalna razvojna agencija, Općina Ilijaš, Općina Selenica i Change Centre (Albanija)</t>
  </si>
  <si>
    <t xml:space="preserve"> 9.11. 2018. - 30.4. 2021.</t>
  </si>
  <si>
    <t xml:space="preserve"> 17.12.2018. - 30.4. 2021.</t>
  </si>
  <si>
    <t xml:space="preserve"> 19.10. 2018.- 30.4. 2021.</t>
  </si>
  <si>
    <t>33.</t>
  </si>
  <si>
    <t>34.</t>
  </si>
  <si>
    <t>35.</t>
  </si>
  <si>
    <t>36.</t>
  </si>
  <si>
    <t>37.</t>
  </si>
  <si>
    <t>38.</t>
  </si>
  <si>
    <t>39.</t>
  </si>
  <si>
    <t>Da - MRRFEU Fond za sufinanciranje - 5.294.047,82 kn</t>
  </si>
  <si>
    <t xml:space="preserve">Sanacija zatvorenog odlagališta komunalnog otpada „Sarvaš“(KK.06.3.1.13.0005)     </t>
  </si>
  <si>
    <t>Projekt sanacije i zatvaranja odlagališta neopasnog otpada „Nemetin“</t>
  </si>
  <si>
    <t xml:space="preserve"> FZOEU 10% tj. 3.500.000 kn + MRRFEU Fond za sufinanciranje: 2.646.953,56 kn</t>
  </si>
  <si>
    <t>Fond za sufinanciranje projekata na lokal. i region. razini  MRRFEU:1.362.169,51</t>
  </si>
  <si>
    <t>Fond za sufinanciranje projekata na lokal. i region. razini  MRRFEU: 373.117,23 kn</t>
  </si>
  <si>
    <t>Fond za sufinanciranje projekata na lokal. i region. razini  MRRFEU: 2.300.000 kn</t>
  </si>
  <si>
    <t>U provedbi od 15.11.2018. - 15. 9. 2020.</t>
  </si>
  <si>
    <t xml:space="preserve">Dodatno sufinanciranje 50% gradskog udjela iz Fonda MRRFEU za sufinanciranje projektata: 528.799,89 kn </t>
  </si>
  <si>
    <t xml:space="preserve">Dodatno sufinanciranje 50% gradskog udjela iz Fonda MRRFEU za sufinanciranje projektata:  307.375,70 kn </t>
  </si>
  <si>
    <t>Dodatno sufinanciranje 50% gradskog udjela iz Fonda MRRFEU za sufinanciranje projektata: 2.259.516,01 kn</t>
  </si>
  <si>
    <t>Izgradnja reciklažnog dvorišta Donji grad“ (KK.06.3.1.16.0024)</t>
  </si>
  <si>
    <t>5.124.115,25 </t>
  </si>
  <si>
    <t>Fond za sufinanciranje projekata na lokal. i region. razini  MRRFEU: 374.126,46 kn</t>
  </si>
  <si>
    <t>3. 5. 2022.</t>
  </si>
  <si>
    <t xml:space="preserve">U provedbi od 3. 9. 2020.  </t>
  </si>
  <si>
    <t>Edukativni i informativni turistički centar mladih Stara pekara s Trgom V. Lisinskog, Tvrđa: KK.06.1.1.01.0042</t>
  </si>
  <si>
    <t>„OsnaŽENA – Ojačajmo Starije i Nemoćne Aktiviranjem ŽENA II“</t>
  </si>
  <si>
    <t>Gradsko društvo Crvenog križa Osijek</t>
  </si>
  <si>
    <t>„OsnaŽENA – Ojačajmo Starije i Nemoćne Aktiviranjem Žena“</t>
  </si>
  <si>
    <t>40.</t>
  </si>
  <si>
    <t xml:space="preserve"> Grad Osijek, Centar za socijalnu skrb Osijek i Hrvatski zavod za zapošljavanje te u suradnji s Općinama Čepin, Šodolovci, Vladislavci i Vuka</t>
  </si>
  <si>
    <t> 5.679.225,20</t>
  </si>
  <si>
    <t xml:space="preserve">od 30. 5. 2018. do 30. 11. 2020. </t>
  </si>
  <si>
    <t>7.7. 2022.</t>
  </si>
  <si>
    <t>U provedbi od 7.1. 2021.</t>
  </si>
  <si>
    <t>U provedbi od 16.8. 2021.</t>
  </si>
  <si>
    <t>15.8.  2022.</t>
  </si>
  <si>
    <t>41.</t>
  </si>
  <si>
    <t xml:space="preserve">Škole jednakih mogućnosti 6 </t>
  </si>
  <si>
    <t>01.07.2022.</t>
  </si>
  <si>
    <t xml:space="preserve">  U provedbi od 01.10.2021. </t>
  </si>
  <si>
    <t>Izgradnja podvožnjaka na Ulici sv. L. B. Mandića</t>
  </si>
  <si>
    <t>MMPI 15%</t>
  </si>
  <si>
    <t xml:space="preserve">UO za </t>
  </si>
  <si>
    <t>42.</t>
  </si>
  <si>
    <t>43.</t>
  </si>
  <si>
    <t>44.</t>
  </si>
  <si>
    <t>45.</t>
  </si>
  <si>
    <t xml:space="preserve">  U provedbi od 01.02. do 01.07. 2021. </t>
  </si>
  <si>
    <t>U provedbi od 1.1. 2020. do 31.12. 2021.</t>
  </si>
  <si>
    <t>U provedbi od 3.9. 2019. do 3.9. 2021.</t>
  </si>
  <si>
    <t>U provedbi od 15. 7. 2019. do 14.1. 2022.</t>
  </si>
  <si>
    <t>Dodatno sufinanciranje 50% gradskog udjela iz Fonda MRRFEU za sufinanciranje projektata</t>
  </si>
  <si>
    <t>46.</t>
  </si>
  <si>
    <t>U provedbi od 1.4. 2019. do 30.09. 2021.</t>
  </si>
  <si>
    <t>Razvoj inovativnih socijalnih usluga - Integrativni centar za savjetovanje i podršku</t>
  </si>
  <si>
    <t>DKC Dokkica</t>
  </si>
  <si>
    <t>Grad Osijek, Općina Ernestinovo</t>
  </si>
  <si>
    <t>N/P</t>
  </si>
  <si>
    <t xml:space="preserve">U provedbi od </t>
  </si>
  <si>
    <t>ITU SC 9iv</t>
  </si>
  <si>
    <t>ITU SC 9i1</t>
  </si>
  <si>
    <t>ITU PT</t>
  </si>
  <si>
    <t xml:space="preserve">Iznos po troškovniku glavnog projekta značajno je premašio raspoloživa ITU SC 6e2 sredstva </t>
  </si>
  <si>
    <t xml:space="preserve">ITU SC 6e2 -Ukupni prihvatljivi troškovi bili su 15.066.705,14 kn </t>
  </si>
  <si>
    <t xml:space="preserve">ITU SC 3a2 -Ukupni prihvatljivi troškovi bili su 36.384.615,38 kn </t>
  </si>
  <si>
    <t>ITU  3a2</t>
  </si>
  <si>
    <t>ITU  7ii2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</si>
</sst>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0\ &quot;kn&quot;;[Red]\-#,##0\ &quot;kn&quot;"/>
    <numFmt numFmtId="8" formatCode="#,##0.00\ &quot;kn&quot;;[Red]\-#,##0.00\ &quot;kn&quot;"/>
    <numFmt numFmtId="44" formatCode="_-* #,##0.00\ &quot;kn&quot;_-;\-* #,##0.00\ &quot;kn&quot;_-;_-* &quot;-&quot;??\ &quot;kn&quot;_-;_-@_-"/>
    <numFmt numFmtId="164" formatCode="_-* #,##0.00\ _k_n_-;\-* #,##0.00\ _k_n_-;_-* &quot;-&quot;??\ _k_n_-;_-@_-"/>
    <numFmt numFmtId="165" formatCode="#,##0.00[$€]"/>
    <numFmt numFmtId="166" formatCode="#,##0&quot;€&quot;"/>
    <numFmt numFmtId="167" formatCode="d\.m\.yyyy\."/>
    <numFmt numFmtId="168" formatCode="#,##0.00\ &quot;kn&quot;"/>
    <numFmt numFmtId="169" formatCode="d\.m\.yyyy"/>
    <numFmt numFmtId="170" formatCode="dd\.mm\.yyyy"/>
  </numFmts>
  <fonts count="26" x14ac:knownFonts="1">
    <font>
      <sz val="11"/>
      <color theme="1"/>
      <name val="Calibri"/>
      <family val="2"/>
      <charset val="238"/>
      <scheme val="minor"/>
    </font>
    <font>
      <sz val="11"/>
      <color theme="1"/>
      <name val="Calibri"/>
      <family val="2"/>
      <charset val="238"/>
      <scheme val="minor"/>
    </font>
    <font>
      <sz val="10"/>
      <name val="Arial"/>
      <family val="2"/>
      <charset val="238"/>
    </font>
    <font>
      <b/>
      <sz val="12"/>
      <color rgb="FFFFFFFF"/>
      <name val="Calibri"/>
      <family val="2"/>
      <charset val="238"/>
    </font>
    <font>
      <sz val="11"/>
      <color rgb="FF000000"/>
      <name val="Calibri"/>
      <family val="2"/>
      <charset val="238"/>
    </font>
    <font>
      <b/>
      <sz val="12"/>
      <color rgb="FF000000"/>
      <name val="Calibri"/>
      <family val="2"/>
      <charset val="238"/>
    </font>
    <font>
      <sz val="11"/>
      <color rgb="FF000000"/>
      <name val="Calibri"/>
      <family val="2"/>
      <charset val="238"/>
    </font>
    <font>
      <sz val="10"/>
      <color rgb="FF000000"/>
      <name val="Arial"/>
      <family val="2"/>
      <charset val="238"/>
    </font>
    <font>
      <sz val="11"/>
      <name val="Calibri"/>
      <family val="2"/>
      <charset val="238"/>
    </font>
    <font>
      <b/>
      <sz val="11"/>
      <color rgb="FF000000"/>
      <name val="Calibri"/>
      <family val="2"/>
      <charset val="238"/>
    </font>
    <font>
      <sz val="11"/>
      <color rgb="FF000000"/>
      <name val="Calibri"/>
      <family val="2"/>
      <charset val="238"/>
      <scheme val="minor"/>
    </font>
    <font>
      <b/>
      <sz val="12"/>
      <color rgb="FFFFFFFF"/>
      <name val="Calibri"/>
      <family val="2"/>
      <charset val="238"/>
    </font>
    <font>
      <sz val="11"/>
      <color rgb="FFFF0000"/>
      <name val="Calibri"/>
      <family val="2"/>
      <charset val="238"/>
    </font>
    <font>
      <sz val="11"/>
      <name val="Calibri"/>
      <family val="2"/>
      <charset val="238"/>
      <scheme val="minor"/>
    </font>
    <font>
      <b/>
      <sz val="18"/>
      <name val="Arial"/>
      <family val="2"/>
      <charset val="238"/>
    </font>
    <font>
      <b/>
      <sz val="20"/>
      <color rgb="FF000000"/>
      <name val="Calibri"/>
      <family val="2"/>
      <charset val="238"/>
    </font>
    <font>
      <b/>
      <sz val="24"/>
      <color rgb="FF000000"/>
      <name val="Calibri"/>
      <family val="2"/>
      <charset val="238"/>
    </font>
    <font>
      <b/>
      <sz val="12"/>
      <color rgb="FF000000"/>
      <name val="Calibri"/>
      <family val="2"/>
      <charset val="238"/>
    </font>
    <font>
      <sz val="11"/>
      <color indexed="8"/>
      <name val="Calibri"/>
      <family val="2"/>
      <charset val="238"/>
      <scheme val="minor"/>
    </font>
    <font>
      <b/>
      <sz val="14"/>
      <color theme="1"/>
      <name val="Calibri"/>
      <family val="2"/>
      <charset val="238"/>
      <scheme val="minor"/>
    </font>
    <font>
      <b/>
      <sz val="11"/>
      <color theme="1"/>
      <name val="Calibri"/>
      <family val="2"/>
      <charset val="238"/>
      <scheme val="minor"/>
    </font>
    <font>
      <b/>
      <sz val="24"/>
      <color theme="1"/>
      <name val="Calibri"/>
      <family val="2"/>
      <charset val="238"/>
      <scheme val="minor"/>
    </font>
    <font>
      <b/>
      <sz val="12"/>
      <color rgb="FFFFFFFF"/>
      <name val="Calibri"/>
      <family val="2"/>
      <charset val="238"/>
    </font>
    <font>
      <sz val="20"/>
      <name val="Arial"/>
      <family val="2"/>
      <charset val="238"/>
    </font>
    <font>
      <b/>
      <sz val="18"/>
      <color rgb="FF000000"/>
      <name val="Calibri"/>
      <family val="2"/>
      <charset val="238"/>
    </font>
    <font>
      <sz val="11"/>
      <color rgb="FF3F3F76"/>
      <name val="Calibri"/>
      <family val="2"/>
      <charset val="238"/>
      <scheme val="minor"/>
    </font>
  </fonts>
  <fills count="23">
    <fill>
      <patternFill patternType="none"/>
    </fill>
    <fill>
      <patternFill patternType="gray125"/>
    </fill>
    <fill>
      <patternFill patternType="solid">
        <fgColor rgb="FFCFE2F3"/>
        <bgColor rgb="FFCFE2F3"/>
      </patternFill>
    </fill>
    <fill>
      <patternFill patternType="solid">
        <fgColor rgb="FF073763"/>
        <bgColor rgb="FF073763"/>
      </patternFill>
    </fill>
    <fill>
      <patternFill patternType="solid">
        <fgColor rgb="FFFFFFFF"/>
        <bgColor rgb="FFFFFFFF"/>
      </patternFill>
    </fill>
    <fill>
      <patternFill patternType="solid">
        <fgColor rgb="FFF7CB4D"/>
        <bgColor rgb="FFF7CB4D"/>
      </patternFill>
    </fill>
    <fill>
      <patternFill patternType="solid">
        <fgColor rgb="FFCCFFFF"/>
        <bgColor rgb="FFCCFFFF"/>
      </patternFill>
    </fill>
    <fill>
      <patternFill patternType="solid">
        <fgColor theme="0"/>
        <bgColor rgb="FFFFFFFF"/>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rgb="FFCCFFFF"/>
        <bgColor indexed="64"/>
      </patternFill>
    </fill>
    <fill>
      <patternFill patternType="solid">
        <fgColor rgb="FFFF3399"/>
        <bgColor indexed="64"/>
      </patternFill>
    </fill>
    <fill>
      <patternFill patternType="solid">
        <fgColor rgb="FFFFFF00"/>
        <bgColor rgb="FFFFFFFF"/>
      </patternFill>
    </fill>
    <fill>
      <patternFill patternType="solid">
        <fgColor rgb="FF6666FF"/>
        <bgColor rgb="FFFFFFFF"/>
      </patternFill>
    </fill>
    <fill>
      <patternFill patternType="solid">
        <fgColor rgb="FF6666FF"/>
        <bgColor indexed="64"/>
      </patternFill>
    </fill>
    <fill>
      <patternFill patternType="solid">
        <fgColor rgb="FFFF3300"/>
        <bgColor rgb="FFFFFFFF"/>
      </patternFill>
    </fill>
    <fill>
      <patternFill patternType="solid">
        <fgColor rgb="FFFFCC99"/>
      </patternFill>
    </fill>
    <fill>
      <patternFill patternType="solid">
        <fgColor theme="0"/>
        <bgColor rgb="FFCCFFFF"/>
      </patternFill>
    </fill>
    <fill>
      <patternFill patternType="solid">
        <fgColor rgb="FFCCFFFF"/>
        <bgColor rgb="FFFFFFFF"/>
      </patternFill>
    </fill>
    <fill>
      <patternFill patternType="solid">
        <fgColor rgb="FF92D050"/>
        <bgColor rgb="FFFFFFFF"/>
      </patternFill>
    </fill>
    <fill>
      <patternFill patternType="solid">
        <fgColor rgb="FF92D050"/>
        <bgColor indexed="64"/>
      </patternFill>
    </fill>
  </fills>
  <borders count="46">
    <border>
      <left/>
      <right/>
      <top/>
      <bottom/>
      <diagonal/>
    </border>
    <border>
      <left/>
      <right/>
      <top/>
      <bottom style="thin">
        <color rgb="FF000000"/>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auto="1"/>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auto="1"/>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auto="1"/>
      </right>
      <top/>
      <bottom style="thin">
        <color rgb="FF000000"/>
      </bottom>
      <diagonal/>
    </border>
    <border>
      <left/>
      <right/>
      <top style="thin">
        <color rgb="FF000000"/>
      </top>
      <bottom style="thin">
        <color rgb="FF000000"/>
      </bottom>
      <diagonal/>
    </border>
    <border>
      <left/>
      <right style="thin">
        <color auto="1"/>
      </right>
      <top style="thin">
        <color rgb="FF000000"/>
      </top>
      <bottom style="thin">
        <color rgb="FF000000"/>
      </bottom>
      <diagonal/>
    </border>
    <border>
      <left/>
      <right/>
      <top/>
      <bottom style="medium">
        <color indexed="64"/>
      </bottom>
      <diagonal/>
    </border>
    <border>
      <left style="thin">
        <color indexed="64"/>
      </left>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auto="1"/>
      </right>
      <top style="thin">
        <color indexed="64"/>
      </top>
      <bottom style="thin">
        <color indexed="64"/>
      </bottom>
      <diagonal/>
    </border>
    <border>
      <left style="thin">
        <color rgb="FF000000"/>
      </left>
      <right style="thin">
        <color auto="1"/>
      </right>
      <top/>
      <bottom/>
      <diagonal/>
    </border>
    <border>
      <left style="thin">
        <color indexed="64"/>
      </left>
      <right/>
      <top style="thin">
        <color indexed="64"/>
      </top>
      <bottom/>
      <diagonal/>
    </border>
    <border>
      <left/>
      <right/>
      <top style="thin">
        <color rgb="FF000000"/>
      </top>
      <bottom/>
      <diagonal/>
    </border>
    <border>
      <left style="thin">
        <color rgb="FF000000"/>
      </left>
      <right/>
      <top/>
      <bottom style="thin">
        <color rgb="FF000000"/>
      </bottom>
      <diagonal/>
    </border>
    <border>
      <left/>
      <right/>
      <top style="thin">
        <color indexed="64"/>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auto="1"/>
      </right>
      <top/>
      <bottom style="thin">
        <color indexed="64"/>
      </bottom>
      <diagonal/>
    </border>
    <border>
      <left style="thin">
        <color rgb="FF000000"/>
      </left>
      <right style="thin">
        <color rgb="FF000000"/>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000000"/>
      </left>
      <right/>
      <top/>
      <bottom/>
      <diagonal/>
    </border>
    <border>
      <left style="thin">
        <color indexed="64"/>
      </left>
      <right/>
      <top/>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auto="1"/>
      </right>
      <top style="thin">
        <color rgb="FF000000"/>
      </top>
      <bottom style="thin">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0" fontId="25" fillId="18" borderId="41" applyNumberFormat="0" applyAlignment="0" applyProtection="0"/>
  </cellStyleXfs>
  <cellXfs count="377">
    <xf numFmtId="0" fontId="0" fillId="0" borderId="0" xfId="0"/>
    <xf numFmtId="0" fontId="3" fillId="3" borderId="3" xfId="0" applyFont="1" applyFill="1" applyBorder="1" applyAlignment="1">
      <alignment wrapText="1"/>
    </xf>
    <xf numFmtId="0" fontId="4" fillId="4" borderId="2" xfId="0" applyFont="1" applyFill="1" applyBorder="1" applyAlignment="1"/>
    <xf numFmtId="0" fontId="5" fillId="5" borderId="2" xfId="0" applyFont="1" applyFill="1" applyBorder="1" applyAlignment="1"/>
    <xf numFmtId="0" fontId="8" fillId="4" borderId="3" xfId="0" applyFont="1" applyFill="1" applyBorder="1" applyAlignment="1">
      <alignment wrapText="1"/>
    </xf>
    <xf numFmtId="0" fontId="8" fillId="4" borderId="5" xfId="0" applyFont="1" applyFill="1" applyBorder="1" applyAlignment="1">
      <alignment wrapText="1"/>
    </xf>
    <xf numFmtId="10" fontId="8" fillId="4" borderId="5" xfId="0" applyNumberFormat="1" applyFont="1" applyFill="1" applyBorder="1" applyAlignment="1">
      <alignment horizontal="right" wrapText="1"/>
    </xf>
    <xf numFmtId="0" fontId="8" fillId="4" borderId="9" xfId="0" applyFont="1" applyFill="1" applyBorder="1" applyAlignment="1">
      <alignment wrapText="1"/>
    </xf>
    <xf numFmtId="10" fontId="8" fillId="4" borderId="3" xfId="0" applyNumberFormat="1" applyFont="1" applyFill="1" applyBorder="1" applyAlignment="1">
      <alignment horizontal="right"/>
    </xf>
    <xf numFmtId="0" fontId="0" fillId="0" borderId="0" xfId="0" applyFont="1" applyAlignment="1"/>
    <xf numFmtId="0" fontId="2" fillId="0" borderId="0" xfId="0" applyFont="1" applyAlignment="1">
      <alignment wrapText="1"/>
    </xf>
    <xf numFmtId="0" fontId="2" fillId="0" borderId="0" xfId="0" applyFont="1" applyAlignment="1"/>
    <xf numFmtId="165" fontId="2" fillId="0" borderId="0" xfId="0" applyNumberFormat="1" applyFont="1" applyAlignment="1"/>
    <xf numFmtId="0" fontId="2" fillId="0" borderId="2" xfId="0" applyFont="1" applyBorder="1" applyAlignment="1"/>
    <xf numFmtId="0" fontId="4" fillId="4" borderId="0" xfId="0" applyFont="1" applyFill="1" applyAlignment="1"/>
    <xf numFmtId="0" fontId="4" fillId="4" borderId="0" xfId="0" applyFont="1" applyFill="1" applyAlignment="1">
      <alignment wrapText="1"/>
    </xf>
    <xf numFmtId="165" fontId="4" fillId="4" borderId="0" xfId="0" applyNumberFormat="1" applyFont="1" applyFill="1" applyAlignment="1"/>
    <xf numFmtId="0" fontId="5" fillId="5" borderId="0" xfId="0" applyFont="1" applyFill="1" applyAlignment="1"/>
    <xf numFmtId="0" fontId="5" fillId="5" borderId="0" xfId="0" applyFont="1" applyFill="1" applyAlignment="1">
      <alignment wrapText="1"/>
    </xf>
    <xf numFmtId="165" fontId="5" fillId="5" borderId="0" xfId="0" applyNumberFormat="1" applyFont="1" applyFill="1" applyAlignment="1"/>
    <xf numFmtId="0" fontId="6" fillId="0" borderId="3" xfId="0" applyFont="1" applyBorder="1" applyAlignment="1">
      <alignment horizontal="left"/>
    </xf>
    <xf numFmtId="0" fontId="4" fillId="0" borderId="3" xfId="0" applyFont="1" applyBorder="1" applyAlignment="1">
      <alignment wrapText="1"/>
    </xf>
    <xf numFmtId="0" fontId="4" fillId="0" borderId="4" xfId="0" applyFont="1" applyBorder="1" applyAlignment="1"/>
    <xf numFmtId="0" fontId="6" fillId="0" borderId="5" xfId="0" applyFont="1" applyBorder="1" applyAlignment="1">
      <alignment wrapText="1"/>
    </xf>
    <xf numFmtId="0" fontId="6" fillId="0" borderId="7" xfId="0" applyFont="1" applyBorder="1" applyAlignment="1">
      <alignment wrapText="1"/>
    </xf>
    <xf numFmtId="0" fontId="6" fillId="0" borderId="5" xfId="0" applyFont="1" applyBorder="1" applyAlignment="1"/>
    <xf numFmtId="0" fontId="6" fillId="0" borderId="11" xfId="0" applyFont="1" applyBorder="1" applyAlignment="1">
      <alignment horizontal="left"/>
    </xf>
    <xf numFmtId="10" fontId="6" fillId="0" borderId="14" xfId="0" applyNumberFormat="1" applyFont="1" applyBorder="1" applyAlignment="1">
      <alignment horizontal="right"/>
    </xf>
    <xf numFmtId="0" fontId="6" fillId="0" borderId="14" xfId="0" applyFont="1" applyBorder="1" applyAlignment="1"/>
    <xf numFmtId="10" fontId="6" fillId="0" borderId="5" xfId="0" applyNumberFormat="1" applyFont="1" applyBorder="1" applyAlignment="1">
      <alignment horizontal="right"/>
    </xf>
    <xf numFmtId="0" fontId="0" fillId="0" borderId="7" xfId="0" applyFont="1" applyBorder="1" applyAlignment="1">
      <alignment wrapText="1"/>
    </xf>
    <xf numFmtId="10" fontId="6" fillId="0" borderId="7" xfId="0" applyNumberFormat="1" applyFont="1" applyBorder="1" applyAlignment="1">
      <alignment horizontal="right"/>
    </xf>
    <xf numFmtId="0" fontId="6" fillId="0" borderId="7" xfId="0" applyFont="1" applyBorder="1" applyAlignment="1"/>
    <xf numFmtId="0" fontId="8" fillId="0" borderId="7" xfId="0" applyFont="1" applyBorder="1" applyAlignment="1">
      <alignment wrapText="1"/>
    </xf>
    <xf numFmtId="0" fontId="8" fillId="0" borderId="7" xfId="0" applyFont="1" applyBorder="1" applyAlignment="1"/>
    <xf numFmtId="10" fontId="8" fillId="0" borderId="7" xfId="0" applyNumberFormat="1" applyFont="1" applyBorder="1" applyAlignment="1">
      <alignment horizontal="right"/>
    </xf>
    <xf numFmtId="167" fontId="8" fillId="0" borderId="7" xfId="0" applyNumberFormat="1" applyFont="1" applyBorder="1" applyAlignment="1"/>
    <xf numFmtId="0" fontId="8" fillId="4" borderId="4" xfId="0" applyFont="1" applyFill="1" applyBorder="1" applyAlignment="1">
      <alignment horizontal="right" wrapText="1"/>
    </xf>
    <xf numFmtId="0" fontId="8" fillId="4" borderId="5" xfId="0" applyFont="1" applyFill="1" applyBorder="1" applyAlignment="1"/>
    <xf numFmtId="168" fontId="8" fillId="4" borderId="5" xfId="0" applyNumberFormat="1" applyFont="1" applyFill="1" applyBorder="1" applyAlignment="1">
      <alignment horizontal="right"/>
    </xf>
    <xf numFmtId="168" fontId="8" fillId="6" borderId="5" xfId="0" applyNumberFormat="1" applyFont="1" applyFill="1" applyBorder="1" applyAlignment="1">
      <alignment horizontal="right"/>
    </xf>
    <xf numFmtId="165" fontId="11" fillId="3" borderId="3" xfId="0" applyNumberFormat="1" applyFont="1" applyFill="1" applyBorder="1" applyAlignment="1">
      <alignment wrapText="1"/>
    </xf>
    <xf numFmtId="0" fontId="11" fillId="3" borderId="3" xfId="0" applyFont="1" applyFill="1" applyBorder="1" applyAlignment="1">
      <alignment wrapText="1"/>
    </xf>
    <xf numFmtId="168" fontId="6" fillId="0" borderId="5" xfId="0" applyNumberFormat="1" applyFont="1" applyBorder="1" applyAlignment="1">
      <alignment horizontal="right"/>
    </xf>
    <xf numFmtId="168" fontId="6" fillId="6" borderId="5" xfId="0" applyNumberFormat="1" applyFont="1" applyFill="1" applyBorder="1" applyAlignment="1">
      <alignment horizontal="right"/>
    </xf>
    <xf numFmtId="168" fontId="6" fillId="6" borderId="3" xfId="0" applyNumberFormat="1" applyFont="1" applyFill="1" applyBorder="1" applyAlignment="1">
      <alignment horizontal="right"/>
    </xf>
    <xf numFmtId="168" fontId="6" fillId="4" borderId="3" xfId="0" applyNumberFormat="1" applyFont="1" applyFill="1" applyBorder="1" applyAlignment="1">
      <alignment horizontal="right"/>
    </xf>
    <xf numFmtId="168" fontId="6" fillId="0" borderId="14" xfId="0" applyNumberFormat="1" applyFont="1" applyBorder="1" applyAlignment="1">
      <alignment horizontal="right"/>
    </xf>
    <xf numFmtId="168" fontId="6" fillId="0" borderId="3" xfId="0" applyNumberFormat="1" applyFont="1" applyBorder="1" applyAlignment="1">
      <alignment horizontal="right"/>
    </xf>
    <xf numFmtId="168" fontId="8" fillId="0" borderId="7" xfId="0" applyNumberFormat="1" applyFont="1" applyBorder="1" applyAlignment="1">
      <alignment horizontal="right"/>
    </xf>
    <xf numFmtId="168" fontId="8" fillId="6" borderId="5" xfId="0" applyNumberFormat="1" applyFont="1" applyFill="1" applyBorder="1" applyAlignment="1">
      <alignment horizontal="right" wrapText="1"/>
    </xf>
    <xf numFmtId="168" fontId="8" fillId="4" borderId="5" xfId="0" applyNumberFormat="1" applyFont="1" applyFill="1" applyBorder="1" applyAlignment="1">
      <alignment horizontal="right" wrapText="1"/>
    </xf>
    <xf numFmtId="168" fontId="8" fillId="4" borderId="3" xfId="0" applyNumberFormat="1" applyFont="1" applyFill="1" applyBorder="1" applyAlignment="1">
      <alignment horizontal="right"/>
    </xf>
    <xf numFmtId="168" fontId="8" fillId="6" borderId="3" xfId="0" applyNumberFormat="1" applyFont="1" applyFill="1" applyBorder="1" applyAlignment="1">
      <alignment horizontal="right"/>
    </xf>
    <xf numFmtId="0" fontId="6" fillId="0" borderId="3" xfId="0" applyFont="1" applyBorder="1" applyAlignment="1"/>
    <xf numFmtId="10" fontId="8" fillId="4" borderId="11" xfId="0" applyNumberFormat="1" applyFont="1" applyFill="1" applyBorder="1" applyAlignment="1">
      <alignment horizontal="right"/>
    </xf>
    <xf numFmtId="0" fontId="6" fillId="0" borderId="3" xfId="0" applyFont="1" applyBorder="1" applyAlignment="1">
      <alignment wrapText="1"/>
    </xf>
    <xf numFmtId="0" fontId="8" fillId="4" borderId="7" xfId="0" applyFont="1" applyFill="1" applyBorder="1" applyAlignment="1"/>
    <xf numFmtId="4" fontId="8" fillId="4" borderId="5" xfId="0" applyNumberFormat="1" applyFont="1" applyFill="1" applyBorder="1" applyAlignment="1">
      <alignment wrapText="1"/>
    </xf>
    <xf numFmtId="168" fontId="6" fillId="0" borderId="7" xfId="0" applyNumberFormat="1" applyFont="1" applyBorder="1" applyAlignment="1">
      <alignment horizontal="right"/>
    </xf>
    <xf numFmtId="0" fontId="15" fillId="5" borderId="0" xfId="0" applyFont="1" applyFill="1" applyAlignment="1">
      <alignment wrapText="1"/>
    </xf>
    <xf numFmtId="0" fontId="0" fillId="0" borderId="7" xfId="0" applyBorder="1"/>
    <xf numFmtId="10" fontId="6" fillId="0" borderId="3" xfId="0" applyNumberFormat="1" applyFont="1" applyBorder="1" applyAlignment="1">
      <alignment horizontal="right"/>
    </xf>
    <xf numFmtId="0" fontId="6" fillId="0" borderId="16" xfId="0" applyFont="1" applyBorder="1" applyAlignment="1">
      <alignment wrapText="1"/>
    </xf>
    <xf numFmtId="0" fontId="4" fillId="0" borderId="5" xfId="0" applyFont="1" applyBorder="1" applyAlignment="1">
      <alignment horizontal="left"/>
    </xf>
    <xf numFmtId="0" fontId="6" fillId="0" borderId="14" xfId="0" applyFont="1" applyBorder="1" applyAlignment="1">
      <alignment horizontal="left"/>
    </xf>
    <xf numFmtId="0" fontId="6" fillId="0" borderId="7" xfId="0" applyFont="1" applyBorder="1" applyAlignment="1">
      <alignment horizontal="left"/>
    </xf>
    <xf numFmtId="0" fontId="8" fillId="0" borderId="3" xfId="0" applyFont="1" applyFill="1" applyBorder="1" applyAlignment="1">
      <alignment wrapText="1"/>
    </xf>
    <xf numFmtId="10" fontId="8" fillId="0" borderId="3" xfId="0" applyNumberFormat="1" applyFont="1" applyFill="1" applyBorder="1" applyAlignment="1">
      <alignment horizontal="right" wrapText="1"/>
    </xf>
    <xf numFmtId="0" fontId="6" fillId="4" borderId="3" xfId="0" applyFont="1" applyFill="1" applyBorder="1" applyAlignment="1">
      <alignment wrapText="1"/>
    </xf>
    <xf numFmtId="167" fontId="6" fillId="0" borderId="4" xfId="0" applyNumberFormat="1" applyFont="1" applyBorder="1" applyAlignment="1"/>
    <xf numFmtId="49" fontId="18" fillId="0" borderId="0" xfId="0" applyNumberFormat="1" applyFont="1" applyFill="1" applyBorder="1" applyAlignment="1">
      <alignment horizontal="left" vertical="center" wrapText="1"/>
    </xf>
    <xf numFmtId="49" fontId="13" fillId="8" borderId="7" xfId="0" applyNumberFormat="1" applyFont="1" applyFill="1" applyBorder="1" applyAlignment="1">
      <alignment horizontal="center" vertical="top" wrapText="1"/>
    </xf>
    <xf numFmtId="49" fontId="13" fillId="8" borderId="27" xfId="0" applyNumberFormat="1" applyFont="1" applyFill="1" applyBorder="1" applyAlignment="1">
      <alignment horizontal="center" vertical="top" wrapText="1"/>
    </xf>
    <xf numFmtId="0" fontId="10" fillId="8" borderId="21" xfId="0" applyFont="1" applyFill="1" applyBorder="1" applyAlignment="1">
      <alignment wrapText="1"/>
    </xf>
    <xf numFmtId="49" fontId="18" fillId="8" borderId="0" xfId="0" applyNumberFormat="1" applyFont="1" applyFill="1" applyBorder="1" applyAlignment="1">
      <alignment vertical="top" wrapText="1"/>
    </xf>
    <xf numFmtId="0" fontId="13" fillId="8" borderId="7" xfId="0" applyFont="1" applyFill="1" applyBorder="1" applyAlignment="1">
      <alignment wrapText="1"/>
    </xf>
    <xf numFmtId="49" fontId="18" fillId="0" borderId="7" xfId="0" applyNumberFormat="1" applyFont="1" applyFill="1" applyBorder="1" applyAlignment="1">
      <alignment horizontal="left" vertical="top" wrapText="1"/>
    </xf>
    <xf numFmtId="4" fontId="18" fillId="8" borderId="7" xfId="0" applyNumberFormat="1" applyFont="1" applyFill="1" applyBorder="1" applyAlignment="1">
      <alignment horizontal="center" vertical="top" wrapText="1"/>
    </xf>
    <xf numFmtId="0" fontId="13" fillId="0" borderId="7" xfId="0" applyFont="1" applyFill="1" applyBorder="1" applyAlignment="1">
      <alignment horizontal="left" vertical="center" wrapText="1"/>
    </xf>
    <xf numFmtId="0" fontId="13" fillId="8" borderId="27" xfId="0" applyFont="1" applyFill="1" applyBorder="1" applyAlignment="1">
      <alignment horizontal="center" wrapText="1"/>
    </xf>
    <xf numFmtId="10" fontId="18" fillId="8" borderId="21" xfId="0" applyNumberFormat="1" applyFont="1" applyFill="1" applyBorder="1" applyAlignment="1">
      <alignment horizontal="right" vertical="top" wrapText="1"/>
    </xf>
    <xf numFmtId="0" fontId="18" fillId="8" borderId="7" xfId="0" applyFont="1" applyFill="1" applyBorder="1"/>
    <xf numFmtId="3" fontId="13" fillId="8" borderId="7" xfId="0" applyNumberFormat="1" applyFont="1" applyFill="1" applyBorder="1" applyAlignment="1">
      <alignment horizontal="center" vertical="top" wrapText="1"/>
    </xf>
    <xf numFmtId="0" fontId="13" fillId="8" borderId="0" xfId="0" applyFont="1" applyFill="1" applyAlignment="1">
      <alignment wrapText="1"/>
    </xf>
    <xf numFmtId="4" fontId="18" fillId="8" borderId="7" xfId="0" applyNumberFormat="1" applyFont="1" applyFill="1" applyBorder="1" applyAlignment="1">
      <alignment horizontal="center" vertical="center" wrapText="1"/>
    </xf>
    <xf numFmtId="49" fontId="18" fillId="8" borderId="7" xfId="0" applyNumberFormat="1" applyFont="1" applyFill="1" applyBorder="1" applyAlignment="1">
      <alignment horizontal="left" vertical="top" wrapText="1"/>
    </xf>
    <xf numFmtId="0" fontId="18" fillId="8" borderId="7" xfId="0" applyFont="1" applyFill="1" applyBorder="1" applyAlignment="1">
      <alignment horizontal="center" wrapText="1"/>
    </xf>
    <xf numFmtId="10" fontId="18" fillId="8" borderId="7" xfId="0" applyNumberFormat="1" applyFont="1" applyFill="1" applyBorder="1" applyAlignment="1">
      <alignment horizontal="right" vertical="top" wrapText="1"/>
    </xf>
    <xf numFmtId="164" fontId="13" fillId="8" borderId="7" xfId="1" applyFont="1" applyFill="1" applyBorder="1" applyAlignment="1">
      <alignment vertical="center" wrapText="1"/>
    </xf>
    <xf numFmtId="10" fontId="13" fillId="8" borderId="7" xfId="0" applyNumberFormat="1" applyFont="1" applyFill="1" applyBorder="1" applyAlignment="1">
      <alignment horizontal="right" vertical="center" wrapText="1"/>
    </xf>
    <xf numFmtId="0" fontId="17" fillId="5" borderId="0" xfId="0" applyFont="1" applyFill="1" applyAlignment="1">
      <alignment wrapText="1"/>
    </xf>
    <xf numFmtId="0" fontId="6" fillId="0" borderId="23" xfId="0" applyFont="1" applyBorder="1" applyAlignment="1"/>
    <xf numFmtId="0" fontId="8" fillId="0" borderId="4" xfId="0" applyFont="1" applyFill="1" applyBorder="1" applyAlignment="1">
      <alignment horizontal="right" wrapText="1"/>
    </xf>
    <xf numFmtId="0" fontId="6" fillId="0" borderId="26" xfId="0" applyFont="1" applyBorder="1" applyAlignment="1"/>
    <xf numFmtId="169" fontId="6" fillId="0" borderId="7" xfId="0" applyNumberFormat="1" applyFont="1" applyBorder="1" applyAlignment="1">
      <alignment horizontal="right"/>
    </xf>
    <xf numFmtId="0" fontId="11" fillId="3" borderId="4" xfId="0" applyFont="1" applyFill="1" applyBorder="1" applyAlignment="1">
      <alignment wrapText="1"/>
    </xf>
    <xf numFmtId="10" fontId="13" fillId="8" borderId="7" xfId="0" applyNumberFormat="1" applyFont="1" applyFill="1" applyBorder="1" applyAlignment="1">
      <alignment horizontal="right" vertical="top" wrapText="1"/>
    </xf>
    <xf numFmtId="0" fontId="6" fillId="0" borderId="28" xfId="0" applyFont="1" applyBorder="1" applyAlignment="1">
      <alignment wrapText="1"/>
    </xf>
    <xf numFmtId="0" fontId="6" fillId="0" borderId="29" xfId="0" applyFont="1" applyBorder="1" applyAlignment="1">
      <alignment wrapText="1"/>
    </xf>
    <xf numFmtId="0" fontId="8" fillId="0" borderId="11" xfId="0" applyFont="1" applyFill="1" applyBorder="1" applyAlignment="1">
      <alignment wrapText="1"/>
    </xf>
    <xf numFmtId="0" fontId="6" fillId="4" borderId="11" xfId="0" applyFont="1" applyFill="1" applyBorder="1" applyAlignment="1">
      <alignment wrapText="1"/>
    </xf>
    <xf numFmtId="0" fontId="6" fillId="0" borderId="11" xfId="0" applyFont="1" applyBorder="1" applyAlignment="1">
      <alignment wrapText="1"/>
    </xf>
    <xf numFmtId="0" fontId="8" fillId="0" borderId="19" xfId="0" applyFont="1" applyBorder="1" applyAlignment="1"/>
    <xf numFmtId="49" fontId="18" fillId="0" borderId="19" xfId="0" applyNumberFormat="1" applyFont="1" applyFill="1" applyBorder="1" applyAlignment="1">
      <alignment vertical="top" wrapText="1"/>
    </xf>
    <xf numFmtId="0" fontId="13" fillId="8" borderId="19" xfId="0" applyFont="1" applyFill="1" applyBorder="1" applyAlignment="1">
      <alignment horizontal="left" vertical="top" wrapText="1"/>
    </xf>
    <xf numFmtId="0" fontId="13" fillId="8" borderId="19" xfId="0" applyFont="1" applyFill="1" applyBorder="1" applyAlignment="1">
      <alignment vertical="top" wrapText="1"/>
    </xf>
    <xf numFmtId="0" fontId="10" fillId="8" borderId="27" xfId="0" applyFont="1" applyFill="1" applyBorder="1" applyAlignment="1">
      <alignment wrapText="1"/>
    </xf>
    <xf numFmtId="0" fontId="6" fillId="0" borderId="30" xfId="0" applyFont="1" applyBorder="1" applyAlignment="1">
      <alignment wrapText="1"/>
    </xf>
    <xf numFmtId="0" fontId="12" fillId="0" borderId="32" xfId="0" applyFont="1" applyFill="1" applyBorder="1" applyAlignment="1">
      <alignment wrapText="1"/>
    </xf>
    <xf numFmtId="0" fontId="6" fillId="4" borderId="32" xfId="0" applyFont="1" applyFill="1" applyBorder="1" applyAlignment="1">
      <alignment wrapText="1"/>
    </xf>
    <xf numFmtId="0" fontId="6" fillId="0" borderId="32" xfId="0" applyFont="1" applyBorder="1" applyAlignment="1">
      <alignment wrapText="1"/>
    </xf>
    <xf numFmtId="9" fontId="13" fillId="8" borderId="0" xfId="0" applyNumberFormat="1" applyFont="1" applyFill="1" applyBorder="1" applyAlignment="1">
      <alignment horizontal="center"/>
    </xf>
    <xf numFmtId="0" fontId="8" fillId="0" borderId="25" xfId="0" applyFont="1" applyBorder="1" applyAlignment="1"/>
    <xf numFmtId="0" fontId="13" fillId="8" borderId="21" xfId="0" applyFont="1" applyFill="1" applyBorder="1" applyAlignment="1">
      <alignment vertical="top" wrapText="1"/>
    </xf>
    <xf numFmtId="0" fontId="8" fillId="0" borderId="34" xfId="0" applyFont="1" applyBorder="1" applyAlignment="1"/>
    <xf numFmtId="0" fontId="10" fillId="0" borderId="21" xfId="0" applyFont="1" applyBorder="1" applyAlignment="1">
      <alignment horizontal="right" wrapText="1"/>
    </xf>
    <xf numFmtId="0" fontId="6" fillId="0" borderId="1" xfId="0" applyFont="1" applyBorder="1" applyAlignment="1">
      <alignment wrapText="1"/>
    </xf>
    <xf numFmtId="0" fontId="6" fillId="0" borderId="21" xfId="0" applyFont="1" applyBorder="1" applyAlignment="1">
      <alignment wrapText="1"/>
    </xf>
    <xf numFmtId="9" fontId="13" fillId="8" borderId="35" xfId="0" applyNumberFormat="1" applyFont="1" applyFill="1" applyBorder="1"/>
    <xf numFmtId="9" fontId="13" fillId="8" borderId="35" xfId="0" applyNumberFormat="1" applyFont="1" applyFill="1" applyBorder="1" applyAlignment="1">
      <alignment horizontal="center"/>
    </xf>
    <xf numFmtId="49" fontId="18" fillId="0" borderId="7" xfId="0" applyNumberFormat="1" applyFont="1" applyFill="1" applyBorder="1" applyAlignment="1">
      <alignment horizontal="left" vertical="center" wrapText="1"/>
    </xf>
    <xf numFmtId="4" fontId="10" fillId="8" borderId="7" xfId="0" applyNumberFormat="1" applyFont="1" applyFill="1" applyBorder="1" applyAlignment="1">
      <alignment horizontal="center" vertical="top" wrapText="1"/>
    </xf>
    <xf numFmtId="0" fontId="0" fillId="0" borderId="7" xfId="0" applyBorder="1" applyAlignment="1">
      <alignment wrapText="1"/>
    </xf>
    <xf numFmtId="0" fontId="6" fillId="0" borderId="5" xfId="0" applyFont="1" applyBorder="1" applyAlignment="1">
      <alignment horizontal="left"/>
    </xf>
    <xf numFmtId="0" fontId="6" fillId="4" borderId="7" xfId="0" applyFont="1" applyFill="1" applyBorder="1" applyAlignment="1"/>
    <xf numFmtId="0" fontId="10" fillId="8" borderId="35" xfId="0" applyFont="1" applyFill="1" applyBorder="1" applyAlignment="1">
      <alignment wrapText="1"/>
    </xf>
    <xf numFmtId="0" fontId="6" fillId="0" borderId="7" xfId="0" applyFont="1" applyFill="1" applyBorder="1" applyAlignment="1">
      <alignment horizontal="left"/>
    </xf>
    <xf numFmtId="168" fontId="6" fillId="6" borderId="25" xfId="0" applyNumberFormat="1" applyFont="1" applyFill="1" applyBorder="1" applyAlignment="1">
      <alignment horizontal="right"/>
    </xf>
    <xf numFmtId="168" fontId="8" fillId="0" borderId="3" xfId="0" applyNumberFormat="1" applyFont="1" applyFill="1" applyBorder="1" applyAlignment="1">
      <alignment horizontal="right" wrapText="1"/>
    </xf>
    <xf numFmtId="10" fontId="6" fillId="4" borderId="11" xfId="0" applyNumberFormat="1" applyFont="1" applyFill="1" applyBorder="1" applyAlignment="1">
      <alignment horizontal="right"/>
    </xf>
    <xf numFmtId="0" fontId="8" fillId="0" borderId="5" xfId="0" applyFont="1" applyFill="1" applyBorder="1" applyAlignment="1">
      <alignment wrapText="1"/>
    </xf>
    <xf numFmtId="0" fontId="6" fillId="0" borderId="13" xfId="0" applyFont="1" applyFill="1" applyBorder="1" applyAlignment="1">
      <alignment wrapText="1"/>
    </xf>
    <xf numFmtId="167" fontId="8" fillId="0" borderId="7" xfId="0" applyNumberFormat="1" applyFont="1" applyBorder="1" applyAlignment="1">
      <alignment wrapText="1"/>
    </xf>
    <xf numFmtId="10" fontId="6" fillId="0" borderId="36" xfId="0" applyNumberFormat="1" applyFont="1" applyBorder="1" applyAlignment="1">
      <alignment horizontal="right"/>
    </xf>
    <xf numFmtId="4" fontId="10" fillId="8" borderId="21" xfId="0" applyNumberFormat="1" applyFont="1" applyFill="1" applyBorder="1" applyAlignment="1">
      <alignment horizontal="center" vertical="top" wrapText="1"/>
    </xf>
    <xf numFmtId="0" fontId="0" fillId="0" borderId="21" xfId="0" applyBorder="1"/>
    <xf numFmtId="9" fontId="13" fillId="8" borderId="37" xfId="0" applyNumberFormat="1" applyFont="1" applyFill="1" applyBorder="1" applyAlignment="1">
      <alignment horizontal="center"/>
    </xf>
    <xf numFmtId="49" fontId="13" fillId="8" borderId="21" xfId="0" applyNumberFormat="1" applyFont="1" applyFill="1" applyBorder="1" applyAlignment="1">
      <alignment horizontal="center" vertical="top" wrapText="1"/>
    </xf>
    <xf numFmtId="44" fontId="6" fillId="0" borderId="3" xfId="0" applyNumberFormat="1" applyFont="1" applyBorder="1" applyAlignment="1">
      <alignment horizontal="right"/>
    </xf>
    <xf numFmtId="44" fontId="6" fillId="6" borderId="3" xfId="0" applyNumberFormat="1" applyFont="1" applyFill="1" applyBorder="1" applyAlignment="1">
      <alignment horizontal="right"/>
    </xf>
    <xf numFmtId="8" fontId="6" fillId="0" borderId="31" xfId="0" applyNumberFormat="1" applyFont="1" applyBorder="1" applyAlignment="1">
      <alignment wrapText="1"/>
    </xf>
    <xf numFmtId="0" fontId="6" fillId="4" borderId="17" xfId="0" applyFont="1" applyFill="1" applyBorder="1" applyAlignment="1">
      <alignment horizontal="right" wrapText="1"/>
    </xf>
    <xf numFmtId="168" fontId="6" fillId="6" borderId="14" xfId="0" applyNumberFormat="1" applyFont="1" applyFill="1" applyBorder="1" applyAlignment="1">
      <alignment horizontal="right" wrapText="1"/>
    </xf>
    <xf numFmtId="169" fontId="6" fillId="0" borderId="15" xfId="0" applyNumberFormat="1" applyFont="1" applyBorder="1" applyAlignment="1">
      <alignment horizontal="right" wrapText="1"/>
    </xf>
    <xf numFmtId="0" fontId="5" fillId="5" borderId="0" xfId="0" applyFont="1" applyFill="1" applyBorder="1" applyAlignment="1"/>
    <xf numFmtId="0" fontId="0" fillId="0" borderId="33" xfId="0" applyBorder="1" applyAlignment="1">
      <alignment wrapText="1"/>
    </xf>
    <xf numFmtId="168" fontId="13" fillId="12" borderId="0" xfId="0" applyNumberFormat="1" applyFont="1" applyFill="1" applyBorder="1" applyAlignment="1">
      <alignment horizontal="center"/>
    </xf>
    <xf numFmtId="168" fontId="10" fillId="8" borderId="7" xfId="0" applyNumberFormat="1" applyFont="1" applyFill="1" applyBorder="1" applyAlignment="1">
      <alignment horizontal="center" vertical="top"/>
    </xf>
    <xf numFmtId="168" fontId="0" fillId="0" borderId="7" xfId="0" applyNumberFormat="1" applyBorder="1"/>
    <xf numFmtId="168" fontId="13" fillId="12" borderId="19" xfId="0" applyNumberFormat="1" applyFont="1" applyFill="1" applyBorder="1" applyAlignment="1">
      <alignment horizontal="center"/>
    </xf>
    <xf numFmtId="168" fontId="13" fillId="8" borderId="7" xfId="0" applyNumberFormat="1" applyFont="1" applyFill="1" applyBorder="1"/>
    <xf numFmtId="168" fontId="13" fillId="12" borderId="33" xfId="0" applyNumberFormat="1" applyFont="1" applyFill="1" applyBorder="1"/>
    <xf numFmtId="0" fontId="6" fillId="4" borderId="21" xfId="0" applyFont="1" applyFill="1" applyBorder="1" applyAlignment="1"/>
    <xf numFmtId="168" fontId="10" fillId="8" borderId="21" xfId="0" applyNumberFormat="1" applyFont="1" applyFill="1" applyBorder="1" applyAlignment="1">
      <alignment horizontal="center" vertical="top"/>
    </xf>
    <xf numFmtId="168" fontId="13" fillId="12" borderId="27" xfId="0" applyNumberFormat="1" applyFont="1" applyFill="1" applyBorder="1" applyAlignment="1">
      <alignment horizontal="center"/>
    </xf>
    <xf numFmtId="168" fontId="0" fillId="0" borderId="21" xfId="0" applyNumberFormat="1" applyBorder="1"/>
    <xf numFmtId="168" fontId="18" fillId="12" borderId="7" xfId="0" applyNumberFormat="1" applyFont="1" applyFill="1" applyBorder="1" applyAlignment="1">
      <alignment horizontal="right" vertical="top" wrapText="1"/>
    </xf>
    <xf numFmtId="168" fontId="13" fillId="12" borderId="7" xfId="0" applyNumberFormat="1" applyFont="1" applyFill="1" applyBorder="1" applyAlignment="1">
      <alignment horizontal="right" vertical="center" wrapText="1"/>
    </xf>
    <xf numFmtId="168" fontId="18" fillId="12" borderId="21" xfId="0" applyNumberFormat="1" applyFont="1" applyFill="1" applyBorder="1" applyAlignment="1">
      <alignment horizontal="right" vertical="top" wrapText="1"/>
    </xf>
    <xf numFmtId="168" fontId="13" fillId="8" borderId="7" xfId="0" applyNumberFormat="1" applyFont="1" applyFill="1" applyBorder="1" applyAlignment="1">
      <alignment horizontal="center" vertical="top" wrapText="1"/>
    </xf>
    <xf numFmtId="168" fontId="18" fillId="8" borderId="21" xfId="0" applyNumberFormat="1" applyFont="1" applyFill="1" applyBorder="1" applyAlignment="1">
      <alignment horizontal="center" vertical="top" wrapText="1"/>
    </xf>
    <xf numFmtId="168" fontId="13" fillId="8" borderId="27" xfId="0" applyNumberFormat="1" applyFont="1" applyFill="1" applyBorder="1" applyAlignment="1">
      <alignment horizontal="center" vertical="top" wrapText="1"/>
    </xf>
    <xf numFmtId="168" fontId="18" fillId="12" borderId="21" xfId="0" applyNumberFormat="1" applyFont="1" applyFill="1" applyBorder="1" applyAlignment="1">
      <alignment horizontal="center" vertical="top" wrapText="1"/>
    </xf>
    <xf numFmtId="168" fontId="6" fillId="4" borderId="3" xfId="0" applyNumberFormat="1" applyFont="1" applyFill="1" applyBorder="1" applyAlignment="1"/>
    <xf numFmtId="168" fontId="13" fillId="8" borderId="7" xfId="1" applyNumberFormat="1" applyFont="1" applyFill="1" applyBorder="1" applyAlignment="1">
      <alignment horizontal="center" vertical="center" wrapText="1"/>
    </xf>
    <xf numFmtId="168" fontId="13" fillId="12" borderId="19" xfId="0" applyNumberFormat="1" applyFont="1" applyFill="1" applyBorder="1"/>
    <xf numFmtId="2" fontId="0" fillId="0" borderId="7" xfId="0" applyNumberFormat="1" applyBorder="1"/>
    <xf numFmtId="49" fontId="18" fillId="8" borderId="21" xfId="0" applyNumberFormat="1" applyFont="1" applyFill="1" applyBorder="1" applyAlignment="1">
      <alignment vertical="top" wrapText="1"/>
    </xf>
    <xf numFmtId="0" fontId="13" fillId="8" borderId="21" xfId="0" applyFont="1" applyFill="1" applyBorder="1"/>
    <xf numFmtId="3" fontId="0" fillId="8" borderId="21" xfId="0" applyNumberFormat="1" applyFont="1" applyFill="1" applyBorder="1" applyAlignment="1">
      <alignment horizontal="center" vertical="center"/>
    </xf>
    <xf numFmtId="168" fontId="6" fillId="0" borderId="6" xfId="0" applyNumberFormat="1" applyFont="1" applyBorder="1" applyAlignment="1">
      <alignment horizontal="right"/>
    </xf>
    <xf numFmtId="168" fontId="8" fillId="12" borderId="7" xfId="0" applyNumberFormat="1" applyFont="1" applyFill="1" applyBorder="1" applyAlignment="1">
      <alignment horizontal="right"/>
    </xf>
    <xf numFmtId="168" fontId="6" fillId="0" borderId="23" xfId="0" applyNumberFormat="1" applyFont="1" applyBorder="1" applyAlignment="1">
      <alignment horizontal="right"/>
    </xf>
    <xf numFmtId="168" fontId="18" fillId="8" borderId="7" xfId="0" applyNumberFormat="1" applyFont="1" applyFill="1" applyBorder="1" applyAlignment="1">
      <alignment horizontal="center" vertical="center" wrapText="1"/>
    </xf>
    <xf numFmtId="168" fontId="0" fillId="8" borderId="21" xfId="0" applyNumberFormat="1" applyFont="1" applyFill="1" applyBorder="1" applyAlignment="1">
      <alignment horizontal="center" vertical="center"/>
    </xf>
    <xf numFmtId="168" fontId="18" fillId="8" borderId="7" xfId="0" applyNumberFormat="1" applyFont="1" applyFill="1" applyBorder="1" applyAlignment="1">
      <alignment horizontal="center" vertical="top" wrapText="1"/>
    </xf>
    <xf numFmtId="168" fontId="6" fillId="6" borderId="7" xfId="0" applyNumberFormat="1" applyFont="1" applyFill="1" applyBorder="1" applyAlignment="1">
      <alignment horizontal="right"/>
    </xf>
    <xf numFmtId="168" fontId="18" fillId="12" borderId="21" xfId="1" applyNumberFormat="1" applyFont="1" applyFill="1" applyBorder="1" applyAlignment="1">
      <alignment wrapText="1"/>
    </xf>
    <xf numFmtId="168" fontId="18" fillId="12" borderId="7" xfId="0" applyNumberFormat="1" applyFont="1" applyFill="1" applyBorder="1" applyAlignment="1">
      <alignment horizontal="center" vertical="top" wrapText="1"/>
    </xf>
    <xf numFmtId="0" fontId="8" fillId="0" borderId="28" xfId="0" applyFont="1" applyBorder="1" applyAlignment="1">
      <alignment wrapText="1"/>
    </xf>
    <xf numFmtId="168" fontId="6" fillId="4" borderId="3" xfId="2" applyNumberFormat="1" applyFont="1" applyFill="1" applyBorder="1" applyAlignment="1">
      <alignment horizontal="right"/>
    </xf>
    <xf numFmtId="0" fontId="22" fillId="3" borderId="20" xfId="0" applyFont="1" applyFill="1" applyBorder="1" applyAlignment="1">
      <alignment wrapText="1"/>
    </xf>
    <xf numFmtId="165" fontId="3" fillId="3" borderId="20" xfId="0" applyNumberFormat="1" applyFont="1" applyFill="1" applyBorder="1" applyAlignment="1">
      <alignment wrapText="1"/>
    </xf>
    <xf numFmtId="0" fontId="3" fillId="3" borderId="20" xfId="0" applyFont="1" applyFill="1" applyBorder="1" applyAlignment="1">
      <alignment wrapText="1"/>
    </xf>
    <xf numFmtId="0" fontId="22" fillId="3" borderId="38" xfId="0" applyFont="1" applyFill="1" applyBorder="1" applyAlignment="1">
      <alignment wrapText="1"/>
    </xf>
    <xf numFmtId="0" fontId="13" fillId="8" borderId="7" xfId="0" applyFont="1" applyFill="1" applyBorder="1"/>
    <xf numFmtId="168" fontId="0" fillId="0" borderId="7" xfId="0" applyNumberFormat="1" applyBorder="1" applyAlignment="1">
      <alignment wrapText="1"/>
    </xf>
    <xf numFmtId="10" fontId="0" fillId="0" borderId="7" xfId="0" applyNumberFormat="1" applyBorder="1" applyAlignment="1">
      <alignment wrapText="1"/>
    </xf>
    <xf numFmtId="168" fontId="4" fillId="0" borderId="7" xfId="0" applyNumberFormat="1" applyFont="1" applyBorder="1" applyAlignment="1">
      <alignment horizontal="right" wrapText="1"/>
    </xf>
    <xf numFmtId="0" fontId="0" fillId="0" borderId="0" xfId="0" applyAlignment="1">
      <alignment wrapText="1"/>
    </xf>
    <xf numFmtId="0" fontId="20" fillId="0" borderId="7" xfId="0" applyFont="1" applyBorder="1" applyAlignment="1">
      <alignment wrapText="1"/>
    </xf>
    <xf numFmtId="168" fontId="20" fillId="0" borderId="7" xfId="0" applyNumberFormat="1" applyFont="1" applyBorder="1" applyAlignment="1">
      <alignment wrapText="1"/>
    </xf>
    <xf numFmtId="0" fontId="19" fillId="13" borderId="7" xfId="0" applyFont="1" applyFill="1" applyBorder="1" applyAlignment="1">
      <alignment wrapText="1"/>
    </xf>
    <xf numFmtId="168" fontId="19" fillId="13" borderId="7" xfId="0" applyNumberFormat="1" applyFont="1" applyFill="1" applyBorder="1"/>
    <xf numFmtId="0" fontId="0" fillId="0" borderId="7" xfId="0" applyFill="1" applyBorder="1"/>
    <xf numFmtId="0" fontId="8" fillId="4" borderId="6" xfId="0" applyFont="1" applyFill="1" applyBorder="1" applyAlignment="1">
      <alignment wrapText="1"/>
    </xf>
    <xf numFmtId="9" fontId="13" fillId="8" borderId="21" xfId="0" applyNumberFormat="1" applyFont="1" applyFill="1" applyBorder="1" applyAlignment="1">
      <alignment horizontal="center"/>
    </xf>
    <xf numFmtId="168" fontId="19" fillId="9" borderId="18" xfId="0" applyNumberFormat="1" applyFont="1" applyFill="1" applyBorder="1"/>
    <xf numFmtId="168" fontId="19" fillId="12" borderId="7" xfId="0" applyNumberFormat="1" applyFont="1" applyFill="1" applyBorder="1"/>
    <xf numFmtId="168" fontId="19" fillId="10" borderId="7" xfId="0" applyNumberFormat="1" applyFont="1" applyFill="1" applyBorder="1"/>
    <xf numFmtId="168" fontId="20" fillId="0" borderId="21" xfId="0" applyNumberFormat="1" applyFont="1" applyBorder="1" applyAlignment="1">
      <alignment wrapText="1"/>
    </xf>
    <xf numFmtId="168" fontId="19" fillId="11" borderId="33" xfId="0" applyNumberFormat="1" applyFont="1" applyFill="1" applyBorder="1"/>
    <xf numFmtId="0" fontId="0" fillId="0" borderId="0" xfId="0" applyBorder="1" applyAlignment="1">
      <alignment wrapText="1"/>
    </xf>
    <xf numFmtId="0" fontId="0" fillId="8" borderId="0" xfId="0" applyFill="1" applyBorder="1"/>
    <xf numFmtId="170" fontId="8" fillId="4" borderId="3" xfId="0" applyNumberFormat="1" applyFont="1" applyFill="1" applyBorder="1" applyAlignment="1">
      <alignment wrapText="1"/>
    </xf>
    <xf numFmtId="4" fontId="0" fillId="12" borderId="7" xfId="0" applyNumberFormat="1" applyFill="1" applyBorder="1" applyAlignment="1">
      <alignment vertical="center" wrapText="1"/>
    </xf>
    <xf numFmtId="0" fontId="8" fillId="8" borderId="5" xfId="0" applyFont="1" applyFill="1" applyBorder="1" applyAlignment="1">
      <alignment wrapText="1"/>
    </xf>
    <xf numFmtId="0" fontId="8" fillId="8" borderId="7" xfId="0" applyFont="1" applyFill="1" applyBorder="1" applyAlignment="1">
      <alignment wrapText="1"/>
    </xf>
    <xf numFmtId="168" fontId="8" fillId="7" borderId="5" xfId="0" applyNumberFormat="1" applyFont="1" applyFill="1" applyBorder="1" applyAlignment="1"/>
    <xf numFmtId="168" fontId="8" fillId="8" borderId="6" xfId="0" applyNumberFormat="1" applyFont="1" applyFill="1" applyBorder="1" applyAlignment="1">
      <alignment horizontal="right"/>
    </xf>
    <xf numFmtId="10" fontId="8" fillId="8" borderId="23" xfId="0" applyNumberFormat="1" applyFont="1" applyFill="1" applyBorder="1" applyAlignment="1">
      <alignment horizontal="right"/>
    </xf>
    <xf numFmtId="0" fontId="8" fillId="8" borderId="24" xfId="0" applyFont="1" applyFill="1" applyBorder="1" applyAlignment="1"/>
    <xf numFmtId="0" fontId="10" fillId="8" borderId="7" xfId="0" applyFont="1" applyFill="1" applyBorder="1" applyAlignment="1">
      <alignment horizontal="right" wrapText="1"/>
    </xf>
    <xf numFmtId="0" fontId="4" fillId="8" borderId="7" xfId="0" applyFont="1" applyFill="1" applyBorder="1" applyAlignment="1">
      <alignment horizontal="left"/>
    </xf>
    <xf numFmtId="0" fontId="8" fillId="8" borderId="28" xfId="0" applyFont="1" applyFill="1" applyBorder="1" applyAlignment="1">
      <alignment wrapText="1"/>
    </xf>
    <xf numFmtId="168" fontId="8" fillId="8" borderId="7" xfId="0" applyNumberFormat="1" applyFont="1" applyFill="1" applyBorder="1" applyAlignment="1">
      <alignment horizontal="right"/>
    </xf>
    <xf numFmtId="10" fontId="8" fillId="8" borderId="7" xfId="0" applyNumberFormat="1" applyFont="1" applyFill="1" applyBorder="1" applyAlignment="1">
      <alignment horizontal="right"/>
    </xf>
    <xf numFmtId="0" fontId="8" fillId="8" borderId="7" xfId="0" applyFont="1" applyFill="1" applyBorder="1" applyAlignment="1"/>
    <xf numFmtId="0" fontId="0" fillId="8" borderId="7" xfId="0" applyFill="1" applyBorder="1" applyAlignment="1">
      <alignment wrapText="1"/>
    </xf>
    <xf numFmtId="167" fontId="8" fillId="8" borderId="7" xfId="0" applyNumberFormat="1" applyFont="1" applyFill="1" applyBorder="1" applyAlignment="1"/>
    <xf numFmtId="167" fontId="8" fillId="8" borderId="7" xfId="0" applyNumberFormat="1" applyFont="1" applyFill="1" applyBorder="1" applyAlignment="1">
      <alignment wrapText="1"/>
    </xf>
    <xf numFmtId="0" fontId="0" fillId="8" borderId="7" xfId="0" applyFill="1" applyBorder="1" applyAlignment="1">
      <alignment horizontal="center" vertical="center" wrapText="1"/>
    </xf>
    <xf numFmtId="4" fontId="0" fillId="8" borderId="7" xfId="0" applyNumberFormat="1" applyFill="1" applyBorder="1" applyAlignment="1">
      <alignment vertical="center" wrapText="1"/>
    </xf>
    <xf numFmtId="170" fontId="0" fillId="8" borderId="7" xfId="0" applyNumberFormat="1" applyFill="1" applyBorder="1" applyAlignment="1">
      <alignment horizontal="center" vertical="center" wrapText="1"/>
    </xf>
    <xf numFmtId="0" fontId="0" fillId="0" borderId="0" xfId="0" applyBorder="1"/>
    <xf numFmtId="0" fontId="8" fillId="0" borderId="21" xfId="0" applyFont="1" applyBorder="1" applyAlignment="1">
      <alignment wrapText="1"/>
    </xf>
    <xf numFmtId="168" fontId="6" fillId="0" borderId="21" xfId="0" applyNumberFormat="1" applyFont="1" applyBorder="1" applyAlignment="1">
      <alignment horizontal="right"/>
    </xf>
    <xf numFmtId="44" fontId="8" fillId="8" borderId="7" xfId="0" applyNumberFormat="1" applyFont="1" applyFill="1" applyBorder="1" applyAlignment="1">
      <alignment horizontal="right"/>
    </xf>
    <xf numFmtId="44" fontId="8" fillId="6" borderId="7" xfId="0" applyNumberFormat="1" applyFont="1" applyFill="1" applyBorder="1" applyAlignment="1">
      <alignment horizontal="right"/>
    </xf>
    <xf numFmtId="0" fontId="8" fillId="7" borderId="7" xfId="0" applyFont="1" applyFill="1" applyBorder="1" applyAlignment="1">
      <alignment horizontal="right" wrapText="1"/>
    </xf>
    <xf numFmtId="168" fontId="6" fillId="8" borderId="3" xfId="0" applyNumberFormat="1" applyFont="1" applyFill="1" applyBorder="1" applyAlignment="1">
      <alignment horizontal="right"/>
    </xf>
    <xf numFmtId="4" fontId="0" fillId="0" borderId="0" xfId="0" applyNumberFormat="1"/>
    <xf numFmtId="168" fontId="0" fillId="0" borderId="0" xfId="0" applyNumberFormat="1"/>
    <xf numFmtId="0" fontId="4" fillId="0" borderId="14" xfId="0" applyFont="1" applyBorder="1" applyAlignment="1">
      <alignment wrapText="1"/>
    </xf>
    <xf numFmtId="0" fontId="4" fillId="0" borderId="16" xfId="0" applyFont="1" applyBorder="1" applyAlignment="1">
      <alignment wrapText="1"/>
    </xf>
    <xf numFmtId="0" fontId="4" fillId="0" borderId="4" xfId="0" applyFont="1" applyFill="1" applyBorder="1" applyAlignment="1">
      <alignment wrapText="1"/>
    </xf>
    <xf numFmtId="167" fontId="4" fillId="0" borderId="4" xfId="0" applyNumberFormat="1" applyFont="1" applyBorder="1" applyAlignment="1">
      <alignment wrapText="1"/>
    </xf>
    <xf numFmtId="0" fontId="8" fillId="4" borderId="10" xfId="0" applyFont="1" applyFill="1" applyBorder="1" applyAlignment="1">
      <alignment wrapText="1"/>
    </xf>
    <xf numFmtId="0" fontId="6" fillId="0" borderId="24" xfId="0" applyFont="1" applyBorder="1" applyAlignment="1">
      <alignment wrapText="1"/>
    </xf>
    <xf numFmtId="168" fontId="4" fillId="0" borderId="5" xfId="0" applyNumberFormat="1" applyFont="1" applyFill="1" applyBorder="1" applyAlignment="1">
      <alignment horizontal="right"/>
    </xf>
    <xf numFmtId="168" fontId="4" fillId="0" borderId="3" xfId="0" applyNumberFormat="1" applyFont="1" applyFill="1" applyBorder="1" applyAlignment="1">
      <alignment horizontal="right"/>
    </xf>
    <xf numFmtId="0" fontId="4" fillId="0" borderId="7" xfId="0" applyFont="1" applyFill="1" applyBorder="1" applyAlignment="1">
      <alignment wrapText="1"/>
    </xf>
    <xf numFmtId="0" fontId="4" fillId="0" borderId="5" xfId="0" applyFont="1" applyFill="1" applyBorder="1" applyAlignment="1">
      <alignment wrapText="1"/>
    </xf>
    <xf numFmtId="0" fontId="4" fillId="0" borderId="6" xfId="0" applyFont="1" applyFill="1" applyBorder="1" applyAlignment="1">
      <alignment wrapText="1"/>
    </xf>
    <xf numFmtId="168" fontId="4" fillId="0" borderId="7" xfId="0" applyNumberFormat="1" applyFont="1" applyFill="1" applyBorder="1" applyAlignment="1">
      <alignment horizontal="right"/>
    </xf>
    <xf numFmtId="0" fontId="4" fillId="0" borderId="5" xfId="0" applyFont="1" applyFill="1" applyBorder="1" applyAlignment="1"/>
    <xf numFmtId="0" fontId="0" fillId="0" borderId="7" xfId="0" applyFill="1" applyBorder="1" applyAlignment="1">
      <alignment wrapText="1"/>
    </xf>
    <xf numFmtId="4" fontId="0" fillId="0" borderId="7" xfId="0" applyNumberFormat="1" applyFill="1" applyBorder="1"/>
    <xf numFmtId="0" fontId="8" fillId="0" borderId="14" xfId="0" applyFont="1" applyFill="1" applyBorder="1" applyAlignment="1">
      <alignment wrapText="1"/>
    </xf>
    <xf numFmtId="168" fontId="4" fillId="0" borderId="14" xfId="0" applyNumberFormat="1" applyFont="1" applyFill="1" applyBorder="1" applyAlignment="1">
      <alignment horizontal="right"/>
    </xf>
    <xf numFmtId="0" fontId="4" fillId="0" borderId="14" xfId="0" applyFont="1" applyFill="1" applyBorder="1" applyAlignment="1">
      <alignment wrapText="1"/>
    </xf>
    <xf numFmtId="0" fontId="4" fillId="0" borderId="20" xfId="0" applyFont="1" applyFill="1" applyBorder="1" applyAlignment="1">
      <alignment wrapText="1"/>
    </xf>
    <xf numFmtId="44" fontId="10" fillId="0" borderId="7" xfId="0" applyNumberFormat="1" applyFont="1" applyFill="1" applyBorder="1" applyAlignment="1">
      <alignment horizontal="center"/>
    </xf>
    <xf numFmtId="10" fontId="4" fillId="0" borderId="14" xfId="0" applyNumberFormat="1" applyFont="1" applyFill="1" applyBorder="1" applyAlignment="1">
      <alignment horizontal="right"/>
    </xf>
    <xf numFmtId="0" fontId="4" fillId="0" borderId="14" xfId="0" applyFont="1" applyFill="1" applyBorder="1" applyAlignment="1"/>
    <xf numFmtId="168" fontId="4" fillId="0" borderId="12" xfId="0" applyNumberFormat="1" applyFont="1" applyFill="1" applyBorder="1" applyAlignment="1">
      <alignment horizontal="right"/>
    </xf>
    <xf numFmtId="10" fontId="4" fillId="0" borderId="5" xfId="0" applyNumberFormat="1" applyFont="1" applyFill="1" applyBorder="1" applyAlignment="1">
      <alignment horizontal="right"/>
    </xf>
    <xf numFmtId="0" fontId="7" fillId="0" borderId="7" xfId="0" applyFont="1" applyFill="1" applyBorder="1" applyAlignment="1"/>
    <xf numFmtId="0" fontId="0" fillId="0" borderId="7" xfId="0" applyFont="1" applyFill="1" applyBorder="1" applyAlignment="1">
      <alignment wrapText="1"/>
    </xf>
    <xf numFmtId="168" fontId="13" fillId="0" borderId="7" xfId="0" applyNumberFormat="1" applyFont="1" applyFill="1" applyBorder="1" applyAlignment="1">
      <alignment horizontal="right"/>
    </xf>
    <xf numFmtId="168" fontId="13" fillId="0" borderId="7" xfId="0" applyNumberFormat="1" applyFont="1" applyFill="1" applyBorder="1" applyAlignment="1"/>
    <xf numFmtId="10" fontId="4" fillId="0" borderId="7" xfId="0" applyNumberFormat="1" applyFont="1" applyFill="1" applyBorder="1" applyAlignment="1">
      <alignment horizontal="right"/>
    </xf>
    <xf numFmtId="0" fontId="4" fillId="0" borderId="7" xfId="0" applyFont="1" applyFill="1" applyBorder="1" applyAlignment="1"/>
    <xf numFmtId="10" fontId="8" fillId="0" borderId="11" xfId="0" applyNumberFormat="1" applyFont="1" applyFill="1" applyBorder="1" applyAlignment="1">
      <alignment horizontal="right" wrapText="1"/>
    </xf>
    <xf numFmtId="0" fontId="8" fillId="0" borderId="7" xfId="0" applyFont="1" applyFill="1" applyBorder="1" applyAlignment="1">
      <alignment wrapText="1"/>
    </xf>
    <xf numFmtId="0" fontId="8" fillId="0" borderId="7" xfId="0" applyFont="1" applyFill="1" applyBorder="1" applyAlignment="1"/>
    <xf numFmtId="168" fontId="8" fillId="0" borderId="7" xfId="0" applyNumberFormat="1" applyFont="1" applyFill="1" applyBorder="1" applyAlignment="1">
      <alignment horizontal="right"/>
    </xf>
    <xf numFmtId="166" fontId="12" fillId="0" borderId="7" xfId="0" applyNumberFormat="1" applyFont="1" applyFill="1" applyBorder="1" applyAlignment="1">
      <alignment horizontal="right"/>
    </xf>
    <xf numFmtId="10" fontId="8" fillId="0" borderId="7" xfId="0" applyNumberFormat="1" applyFont="1" applyFill="1" applyBorder="1" applyAlignment="1">
      <alignment horizontal="right"/>
    </xf>
    <xf numFmtId="167" fontId="8" fillId="0" borderId="7" xfId="0" applyNumberFormat="1" applyFont="1" applyFill="1" applyBorder="1" applyAlignment="1"/>
    <xf numFmtId="0" fontId="2" fillId="0" borderId="7" xfId="0" applyFont="1" applyFill="1" applyBorder="1" applyAlignment="1"/>
    <xf numFmtId="0" fontId="4" fillId="0" borderId="7" xfId="0" applyFont="1" applyFill="1" applyBorder="1" applyAlignment="1">
      <alignment horizontal="left"/>
    </xf>
    <xf numFmtId="0" fontId="4" fillId="0" borderId="13" xfId="0" applyFont="1" applyFill="1" applyBorder="1" applyAlignment="1">
      <alignment wrapText="1"/>
    </xf>
    <xf numFmtId="0" fontId="4" fillId="8" borderId="5" xfId="0" applyFont="1" applyFill="1" applyBorder="1" applyAlignment="1">
      <alignment wrapText="1"/>
    </xf>
    <xf numFmtId="10" fontId="4" fillId="8" borderId="7" xfId="0" applyNumberFormat="1" applyFont="1" applyFill="1" applyBorder="1" applyAlignment="1">
      <alignment horizontal="right"/>
    </xf>
    <xf numFmtId="0" fontId="8" fillId="7" borderId="23" xfId="0" applyFont="1" applyFill="1" applyBorder="1" applyAlignment="1"/>
    <xf numFmtId="0" fontId="8" fillId="7" borderId="7" xfId="0" applyFont="1" applyFill="1" applyBorder="1" applyAlignment="1">
      <alignment wrapText="1"/>
    </xf>
    <xf numFmtId="0" fontId="4" fillId="8" borderId="7" xfId="0" applyFont="1" applyFill="1" applyBorder="1" applyAlignment="1">
      <alignment wrapText="1"/>
    </xf>
    <xf numFmtId="168" fontId="4" fillId="8" borderId="7" xfId="0" applyNumberFormat="1" applyFont="1" applyFill="1" applyBorder="1" applyAlignment="1">
      <alignment horizontal="right"/>
    </xf>
    <xf numFmtId="168" fontId="4" fillId="8" borderId="21" xfId="0" applyNumberFormat="1" applyFont="1" applyFill="1" applyBorder="1" applyAlignment="1">
      <alignment horizontal="right"/>
    </xf>
    <xf numFmtId="0" fontId="8" fillId="7" borderId="7" xfId="0" applyFont="1" applyFill="1" applyBorder="1" applyAlignment="1"/>
    <xf numFmtId="0" fontId="8" fillId="7" borderId="8" xfId="0" applyFont="1" applyFill="1" applyBorder="1" applyAlignment="1">
      <alignment wrapText="1"/>
    </xf>
    <xf numFmtId="0" fontId="8" fillId="4" borderId="8" xfId="0" applyFont="1" applyFill="1" applyBorder="1" applyAlignment="1">
      <alignment wrapText="1"/>
    </xf>
    <xf numFmtId="0" fontId="8" fillId="0" borderId="12" xfId="0" applyFont="1" applyFill="1" applyBorder="1" applyAlignment="1">
      <alignment wrapText="1"/>
    </xf>
    <xf numFmtId="0" fontId="8" fillId="4" borderId="12" xfId="0" applyFont="1" applyFill="1" applyBorder="1" applyAlignment="1">
      <alignment wrapText="1"/>
    </xf>
    <xf numFmtId="0" fontId="4" fillId="8" borderId="21" xfId="0" applyFont="1" applyFill="1" applyBorder="1" applyAlignment="1">
      <alignment wrapText="1"/>
    </xf>
    <xf numFmtId="0" fontId="8" fillId="4" borderId="7" xfId="0" applyFont="1" applyFill="1" applyBorder="1" applyAlignment="1">
      <alignment wrapText="1"/>
    </xf>
    <xf numFmtId="168" fontId="8" fillId="19" borderId="5" xfId="0" applyNumberFormat="1" applyFont="1" applyFill="1" applyBorder="1" applyAlignment="1">
      <alignment horizontal="right"/>
    </xf>
    <xf numFmtId="168" fontId="8" fillId="19" borderId="6" xfId="0" applyNumberFormat="1" applyFont="1" applyFill="1" applyBorder="1" applyAlignment="1">
      <alignment horizontal="right"/>
    </xf>
    <xf numFmtId="168" fontId="0" fillId="0" borderId="7" xfId="0" applyNumberFormat="1" applyBorder="1" applyAlignment="1">
      <alignment horizontal="right"/>
    </xf>
    <xf numFmtId="168" fontId="13" fillId="0" borderId="7" xfId="0" applyNumberFormat="1" applyFont="1" applyBorder="1"/>
    <xf numFmtId="168" fontId="8" fillId="4" borderId="0" xfId="0" applyNumberFormat="1" applyFont="1" applyFill="1" applyBorder="1" applyAlignment="1">
      <alignment horizontal="right"/>
    </xf>
    <xf numFmtId="0" fontId="4" fillId="8" borderId="3" xfId="0" applyFont="1" applyFill="1" applyBorder="1" applyAlignment="1">
      <alignment wrapText="1"/>
    </xf>
    <xf numFmtId="0" fontId="0" fillId="0" borderId="43" xfId="0" applyFill="1" applyBorder="1"/>
    <xf numFmtId="10" fontId="8" fillId="4" borderId="5" xfId="0" applyNumberFormat="1" applyFont="1" applyFill="1" applyBorder="1" applyAlignment="1">
      <alignment horizontal="right"/>
    </xf>
    <xf numFmtId="0" fontId="8" fillId="4" borderId="20" xfId="0" applyFont="1" applyFill="1" applyBorder="1" applyAlignment="1"/>
    <xf numFmtId="0" fontId="8" fillId="4" borderId="9" xfId="0" applyFont="1" applyFill="1" applyBorder="1" applyAlignment="1">
      <alignment horizontal="right" wrapText="1"/>
    </xf>
    <xf numFmtId="0" fontId="0" fillId="0" borderId="21" xfId="0" applyBorder="1" applyAlignment="1">
      <alignment wrapText="1"/>
    </xf>
    <xf numFmtId="168" fontId="19" fillId="10" borderId="40" xfId="0" applyNumberFormat="1" applyFont="1" applyFill="1" applyBorder="1"/>
    <xf numFmtId="168" fontId="19" fillId="12" borderId="22" xfId="0" applyNumberFormat="1" applyFont="1" applyFill="1" applyBorder="1"/>
    <xf numFmtId="168" fontId="19" fillId="22" borderId="44" xfId="0" applyNumberFormat="1" applyFont="1" applyFill="1" applyBorder="1"/>
    <xf numFmtId="168" fontId="8" fillId="4" borderId="7" xfId="0" applyNumberFormat="1" applyFont="1" applyFill="1" applyBorder="1" applyAlignment="1">
      <alignment horizontal="right"/>
    </xf>
    <xf numFmtId="168" fontId="8" fillId="6" borderId="7" xfId="0" applyNumberFormat="1" applyFont="1" applyFill="1" applyBorder="1" applyAlignment="1">
      <alignment horizontal="right"/>
    </xf>
    <xf numFmtId="10" fontId="8" fillId="4" borderId="7" xfId="0" applyNumberFormat="1" applyFont="1" applyFill="1" applyBorder="1" applyAlignment="1">
      <alignment horizontal="right"/>
    </xf>
    <xf numFmtId="9" fontId="0" fillId="0" borderId="7" xfId="0" applyNumberFormat="1" applyBorder="1"/>
    <xf numFmtId="0" fontId="0" fillId="8" borderId="7" xfId="0" applyFill="1" applyBorder="1"/>
    <xf numFmtId="168" fontId="8" fillId="0" borderId="42" xfId="0" applyNumberFormat="1" applyFont="1" applyFill="1" applyBorder="1" applyAlignment="1">
      <alignment horizontal="right"/>
    </xf>
    <xf numFmtId="168" fontId="0" fillId="0" borderId="45" xfId="0" applyNumberFormat="1" applyBorder="1"/>
    <xf numFmtId="0" fontId="10" fillId="8" borderId="7" xfId="0" applyFont="1" applyFill="1" applyBorder="1" applyAlignment="1">
      <alignment horizontal="center" wrapText="1"/>
    </xf>
    <xf numFmtId="0" fontId="8" fillId="8" borderId="24" xfId="0" applyFont="1" applyFill="1" applyBorder="1" applyAlignment="1">
      <alignment wrapText="1"/>
    </xf>
    <xf numFmtId="0" fontId="0" fillId="0" borderId="33" xfId="0" applyFill="1" applyBorder="1"/>
    <xf numFmtId="0" fontId="0" fillId="0" borderId="23" xfId="0" applyFill="1" applyBorder="1"/>
    <xf numFmtId="0" fontId="9" fillId="4" borderId="7" xfId="0" applyFont="1" applyFill="1" applyBorder="1" applyAlignment="1"/>
    <xf numFmtId="168" fontId="24" fillId="17" borderId="7" xfId="0" applyNumberFormat="1" applyFont="1" applyFill="1" applyBorder="1" applyAlignment="1">
      <alignment horizontal="right"/>
    </xf>
    <xf numFmtId="168" fontId="24" fillId="14" borderId="7" xfId="0" applyNumberFormat="1" applyFont="1" applyFill="1" applyBorder="1" applyAlignment="1">
      <alignment horizontal="right"/>
    </xf>
    <xf numFmtId="168" fontId="24" fillId="20" borderId="7" xfId="0" applyNumberFormat="1" applyFont="1" applyFill="1" applyBorder="1" applyAlignment="1">
      <alignment horizontal="right"/>
    </xf>
    <xf numFmtId="168" fontId="24" fillId="21" borderId="7" xfId="0" applyNumberFormat="1" applyFont="1" applyFill="1" applyBorder="1" applyAlignment="1">
      <alignment horizontal="right"/>
    </xf>
    <xf numFmtId="0" fontId="4" fillId="4" borderId="7" xfId="0" applyFont="1" applyFill="1" applyBorder="1" applyAlignment="1"/>
    <xf numFmtId="0" fontId="4" fillId="4" borderId="7" xfId="0" applyFont="1" applyFill="1" applyBorder="1" applyAlignment="1">
      <alignment wrapText="1"/>
    </xf>
    <xf numFmtId="165" fontId="4" fillId="4" borderId="7" xfId="0" applyNumberFormat="1" applyFont="1" applyFill="1" applyBorder="1" applyAlignment="1"/>
    <xf numFmtId="0" fontId="4" fillId="0" borderId="7" xfId="0" applyFont="1" applyBorder="1" applyAlignment="1"/>
    <xf numFmtId="0" fontId="4" fillId="0" borderId="7" xfId="0" applyFont="1" applyBorder="1" applyAlignment="1">
      <alignment wrapText="1"/>
    </xf>
    <xf numFmtId="165" fontId="4" fillId="0" borderId="7" xfId="0" applyNumberFormat="1" applyFont="1" applyBorder="1" applyAlignment="1"/>
    <xf numFmtId="4" fontId="0" fillId="0" borderId="7" xfId="0" applyNumberFormat="1" applyBorder="1"/>
    <xf numFmtId="2" fontId="13" fillId="0" borderId="7" xfId="0" applyNumberFormat="1" applyFont="1" applyBorder="1"/>
    <xf numFmtId="0" fontId="0" fillId="0" borderId="7" xfId="0" applyFont="1" applyBorder="1" applyAlignment="1"/>
    <xf numFmtId="0" fontId="2" fillId="0" borderId="7" xfId="0" applyFont="1" applyBorder="1" applyAlignment="1">
      <alignment wrapText="1"/>
    </xf>
    <xf numFmtId="0" fontId="2" fillId="0" borderId="7" xfId="0" applyFont="1" applyBorder="1" applyAlignment="1"/>
    <xf numFmtId="165" fontId="2" fillId="0" borderId="7" xfId="0" applyNumberFormat="1" applyFont="1" applyBorder="1" applyAlignment="1"/>
    <xf numFmtId="0" fontId="3" fillId="3" borderId="7" xfId="0" applyFont="1" applyFill="1" applyBorder="1" applyAlignment="1">
      <alignment wrapText="1"/>
    </xf>
    <xf numFmtId="165" fontId="3" fillId="3" borderId="7" xfId="0" applyNumberFormat="1" applyFont="1" applyFill="1" applyBorder="1" applyAlignment="1">
      <alignment wrapText="1"/>
    </xf>
    <xf numFmtId="0" fontId="5" fillId="5" borderId="7" xfId="0" applyFont="1" applyFill="1" applyBorder="1" applyAlignment="1"/>
    <xf numFmtId="0" fontId="16" fillId="5" borderId="7" xfId="0" applyFont="1" applyFill="1" applyBorder="1" applyAlignment="1">
      <alignment wrapText="1"/>
    </xf>
    <xf numFmtId="0" fontId="5" fillId="5" borderId="7" xfId="0" applyFont="1" applyFill="1" applyBorder="1" applyAlignment="1">
      <alignment wrapText="1"/>
    </xf>
    <xf numFmtId="165" fontId="5" fillId="5" borderId="7" xfId="0" applyNumberFormat="1" applyFont="1" applyFill="1" applyBorder="1" applyAlignment="1"/>
    <xf numFmtId="168" fontId="4" fillId="0" borderId="7" xfId="0" applyNumberFormat="1" applyFont="1" applyFill="1" applyBorder="1" applyAlignment="1">
      <alignment horizontal="right" wrapText="1"/>
    </xf>
    <xf numFmtId="0" fontId="4" fillId="0" borderId="7" xfId="0" applyFont="1" applyFill="1" applyBorder="1" applyAlignment="1">
      <alignment horizontal="center" wrapText="1"/>
    </xf>
    <xf numFmtId="4" fontId="0" fillId="8" borderId="7" xfId="0" applyNumberFormat="1" applyFill="1" applyBorder="1"/>
    <xf numFmtId="10" fontId="4" fillId="0" borderId="7" xfId="0" applyNumberFormat="1" applyFont="1" applyFill="1" applyBorder="1" applyAlignment="1"/>
    <xf numFmtId="0" fontId="4" fillId="0" borderId="7" xfId="0" applyFont="1" applyFill="1" applyBorder="1" applyAlignment="1">
      <alignment horizontal="right"/>
    </xf>
    <xf numFmtId="2" fontId="4" fillId="8" borderId="7" xfId="0" applyNumberFormat="1" applyFont="1" applyFill="1" applyBorder="1" applyAlignment="1">
      <alignment horizontal="right" wrapText="1"/>
    </xf>
    <xf numFmtId="168" fontId="4" fillId="19" borderId="7" xfId="0" applyNumberFormat="1" applyFont="1" applyFill="1" applyBorder="1" applyAlignment="1">
      <alignment horizontal="right"/>
    </xf>
    <xf numFmtId="168" fontId="0" fillId="8" borderId="7" xfId="0" applyNumberFormat="1" applyFill="1" applyBorder="1"/>
    <xf numFmtId="8" fontId="13" fillId="0" borderId="7" xfId="3" applyNumberFormat="1" applyFont="1" applyFill="1" applyBorder="1" applyAlignment="1">
      <alignment horizontal="right" vertical="center" wrapText="1"/>
    </xf>
    <xf numFmtId="168" fontId="8" fillId="0" borderId="7" xfId="0" applyNumberFormat="1" applyFont="1" applyFill="1" applyBorder="1" applyAlignment="1">
      <alignment horizontal="right" wrapText="1"/>
    </xf>
    <xf numFmtId="6" fontId="13" fillId="0" borderId="7" xfId="3" applyNumberFormat="1" applyFont="1" applyFill="1" applyBorder="1" applyAlignment="1">
      <alignment horizontal="right" vertical="center" wrapText="1"/>
    </xf>
    <xf numFmtId="168" fontId="8" fillId="4" borderId="7" xfId="0" applyNumberFormat="1" applyFont="1" applyFill="1" applyBorder="1" applyAlignment="1">
      <alignment horizontal="right" wrapText="1"/>
    </xf>
    <xf numFmtId="10" fontId="8" fillId="4" borderId="7" xfId="0" applyNumberFormat="1" applyFont="1" applyFill="1" applyBorder="1" applyAlignment="1">
      <alignment horizontal="right" wrapText="1"/>
    </xf>
    <xf numFmtId="168" fontId="8" fillId="19" borderId="7" xfId="0" applyNumberFormat="1" applyFont="1" applyFill="1" applyBorder="1" applyAlignment="1">
      <alignment horizontal="right" wrapText="1"/>
    </xf>
    <xf numFmtId="0" fontId="8" fillId="4" borderId="7" xfId="0" applyFont="1" applyFill="1" applyBorder="1" applyAlignment="1">
      <alignment horizontal="right" wrapText="1"/>
    </xf>
    <xf numFmtId="168" fontId="8" fillId="19" borderId="7" xfId="0" applyNumberFormat="1" applyFont="1" applyFill="1" applyBorder="1" applyAlignment="1">
      <alignment horizontal="right"/>
    </xf>
    <xf numFmtId="10" fontId="8" fillId="0" borderId="7" xfId="0" applyNumberFormat="1" applyFont="1" applyFill="1" applyBorder="1" applyAlignment="1">
      <alignment horizontal="right" wrapText="1"/>
    </xf>
    <xf numFmtId="14" fontId="8" fillId="0" borderId="7" xfId="0" applyNumberFormat="1" applyFont="1" applyFill="1" applyBorder="1" applyAlignment="1">
      <alignment horizontal="right"/>
    </xf>
    <xf numFmtId="0" fontId="8" fillId="0" borderId="7" xfId="0" applyFont="1" applyFill="1" applyBorder="1" applyAlignment="1">
      <alignment horizontal="right" wrapText="1"/>
    </xf>
    <xf numFmtId="168" fontId="8" fillId="0" borderId="7" xfId="0" applyNumberFormat="1" applyFont="1" applyFill="1" applyBorder="1" applyAlignment="1"/>
    <xf numFmtId="168" fontId="8" fillId="7" borderId="7" xfId="0" applyNumberFormat="1" applyFont="1" applyFill="1" applyBorder="1" applyAlignment="1"/>
    <xf numFmtId="0" fontId="8" fillId="8" borderId="7" xfId="0" applyFont="1" applyFill="1" applyBorder="1" applyAlignment="1">
      <alignment horizontal="center" wrapText="1"/>
    </xf>
    <xf numFmtId="0" fontId="4" fillId="8" borderId="7" xfId="0" applyFont="1" applyFill="1" applyBorder="1" applyAlignment="1"/>
    <xf numFmtId="168" fontId="4" fillId="7" borderId="7" xfId="0" applyNumberFormat="1" applyFont="1" applyFill="1" applyBorder="1" applyAlignment="1">
      <alignment horizontal="right"/>
    </xf>
    <xf numFmtId="0" fontId="3" fillId="3" borderId="3" xfId="0" applyFont="1" applyFill="1" applyBorder="1" applyAlignment="1">
      <alignment horizontal="center" wrapText="1"/>
    </xf>
    <xf numFmtId="0" fontId="3" fillId="3" borderId="7" xfId="0" applyFont="1" applyFill="1" applyBorder="1" applyAlignment="1">
      <alignment horizontal="center" wrapText="1"/>
    </xf>
    <xf numFmtId="44" fontId="0" fillId="0" borderId="7" xfId="0" applyNumberFormat="1" applyBorder="1" applyAlignment="1">
      <alignment horizontal="right"/>
    </xf>
    <xf numFmtId="44" fontId="0" fillId="0" borderId="7" xfId="0" applyNumberFormat="1" applyBorder="1"/>
    <xf numFmtId="0" fontId="14" fillId="2" borderId="7" xfId="0" applyFont="1" applyFill="1" applyBorder="1" applyAlignment="1">
      <alignment horizontal="center" vertical="center"/>
    </xf>
    <xf numFmtId="0" fontId="0" fillId="0" borderId="7" xfId="0" applyFont="1" applyBorder="1" applyAlignment="1"/>
    <xf numFmtId="0" fontId="2" fillId="0" borderId="7" xfId="0" applyFont="1" applyBorder="1" applyAlignment="1"/>
    <xf numFmtId="0" fontId="15" fillId="15" borderId="7" xfId="0" applyFont="1" applyFill="1" applyBorder="1" applyAlignment="1">
      <alignment horizontal="center" wrapText="1"/>
    </xf>
    <xf numFmtId="0" fontId="23" fillId="16" borderId="7" xfId="0" applyFont="1" applyFill="1" applyBorder="1" applyAlignment="1">
      <alignment horizontal="center"/>
    </xf>
    <xf numFmtId="0" fontId="14" fillId="2" borderId="0" xfId="0" applyFont="1" applyFill="1" applyAlignment="1">
      <alignment horizontal="center" vertical="center"/>
    </xf>
    <xf numFmtId="0" fontId="0" fillId="0" borderId="0" xfId="0" applyFont="1" applyAlignment="1"/>
    <xf numFmtId="0" fontId="2" fillId="0" borderId="1" xfId="0" applyFont="1" applyBorder="1" applyAlignment="1"/>
    <xf numFmtId="0" fontId="19" fillId="9" borderId="40" xfId="0" applyFont="1" applyFill="1" applyBorder="1" applyAlignment="1">
      <alignment horizontal="center" wrapText="1"/>
    </xf>
    <xf numFmtId="0" fontId="19" fillId="9" borderId="18" xfId="0" applyFont="1" applyFill="1" applyBorder="1" applyAlignment="1">
      <alignment horizontal="center" wrapText="1"/>
    </xf>
    <xf numFmtId="0" fontId="19" fillId="9" borderId="22" xfId="0" applyFont="1" applyFill="1" applyBorder="1" applyAlignment="1">
      <alignment horizontal="center" wrapText="1"/>
    </xf>
    <xf numFmtId="0" fontId="21" fillId="10" borderId="39" xfId="0" applyFont="1" applyFill="1" applyBorder="1" applyAlignment="1">
      <alignment horizontal="center" wrapText="1"/>
    </xf>
    <xf numFmtId="0" fontId="21" fillId="10" borderId="0" xfId="0" applyFont="1" applyFill="1" applyBorder="1" applyAlignment="1">
      <alignment horizontal="center" wrapText="1"/>
    </xf>
  </cellXfs>
  <cellStyles count="4">
    <cellStyle name="Comma" xfId="1" builtinId="3"/>
    <cellStyle name="Currency" xfId="2" builtinId="4"/>
    <cellStyle name="Input" xfId="3" builtinId="20"/>
    <cellStyle name="Normal" xfId="0" builtinId="0"/>
  </cellStyles>
  <dxfs count="0"/>
  <tableStyles count="0" defaultTableStyle="TableStyleMedium2" defaultPivotStyle="PivotStyleLight16"/>
  <colors>
    <mruColors>
      <color rgb="FFCCFFFF"/>
      <color rgb="FFFFCCFF"/>
      <color rgb="FFFF3399"/>
      <color rgb="FFFF00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8"/>
  <sheetViews>
    <sheetView tabSelected="1" topLeftCell="A25" workbookViewId="0">
      <selection activeCell="G38" sqref="G38"/>
    </sheetView>
  </sheetViews>
  <sheetFormatPr defaultRowHeight="15" x14ac:dyDescent="0.25"/>
  <cols>
    <col min="1" max="1" width="6.85546875" customWidth="1"/>
    <col min="2" max="2" width="53" customWidth="1"/>
    <col min="3" max="3" width="11.85546875" customWidth="1"/>
    <col min="4" max="4" width="37.7109375" customWidth="1"/>
    <col min="5" max="5" width="30.7109375" customWidth="1"/>
    <col min="6" max="6" width="31.140625" customWidth="1"/>
    <col min="7" max="7" width="27.140625" customWidth="1"/>
    <col min="8" max="8" width="29.28515625" customWidth="1"/>
    <col min="9" max="9" width="11.7109375" bestFit="1" customWidth="1"/>
    <col min="10" max="10" width="11" customWidth="1"/>
    <col min="11" max="11" width="15.85546875" customWidth="1"/>
    <col min="12" max="12" width="16.140625" customWidth="1"/>
    <col min="13" max="13" width="12.85546875" customWidth="1"/>
    <col min="14" max="14" width="20.5703125" customWidth="1"/>
    <col min="15" max="15" width="14.85546875" customWidth="1"/>
    <col min="16" max="16" width="9.140625" customWidth="1"/>
    <col min="17" max="17" width="29" customWidth="1"/>
    <col min="18" max="18" width="17.42578125" customWidth="1"/>
    <col min="19" max="19" width="17.140625" customWidth="1"/>
    <col min="20" max="20" width="15.42578125" bestFit="1" customWidth="1"/>
  </cols>
  <sheetData>
    <row r="1" spans="1:20" s="61" customFormat="1" x14ac:dyDescent="0.25">
      <c r="A1" s="364" t="s">
        <v>87</v>
      </c>
      <c r="B1" s="365"/>
      <c r="C1" s="365"/>
      <c r="D1" s="365"/>
      <c r="E1" s="365"/>
      <c r="F1" s="365"/>
      <c r="G1" s="365"/>
      <c r="H1" s="365"/>
      <c r="I1" s="365"/>
      <c r="J1" s="365"/>
      <c r="K1" s="365"/>
      <c r="L1" s="365"/>
      <c r="M1" s="365"/>
      <c r="N1" s="365"/>
    </row>
    <row r="2" spans="1:20" s="61" customFormat="1" x14ac:dyDescent="0.25">
      <c r="A2" s="366"/>
      <c r="B2" s="366"/>
      <c r="C2" s="366"/>
      <c r="D2" s="366"/>
      <c r="E2" s="366"/>
      <c r="F2" s="366"/>
      <c r="G2" s="366"/>
      <c r="H2" s="366"/>
      <c r="I2" s="366"/>
      <c r="J2" s="366"/>
      <c r="K2" s="366"/>
      <c r="L2" s="366"/>
      <c r="M2" s="366"/>
      <c r="N2" s="366"/>
    </row>
    <row r="3" spans="1:20" s="61" customFormat="1" x14ac:dyDescent="0.25">
      <c r="A3" s="326"/>
      <c r="B3" s="327"/>
      <c r="C3" s="328"/>
      <c r="D3" s="327"/>
      <c r="E3" s="327"/>
      <c r="F3" s="329"/>
      <c r="G3" s="328"/>
      <c r="H3" s="328"/>
      <c r="I3" s="328"/>
      <c r="J3" s="328"/>
      <c r="K3" s="328"/>
      <c r="L3" s="328"/>
      <c r="M3" s="328"/>
      <c r="N3" s="328"/>
    </row>
    <row r="4" spans="1:20" s="61" customFormat="1" ht="94.5" x14ac:dyDescent="0.25">
      <c r="A4" s="330" t="s">
        <v>1</v>
      </c>
      <c r="B4" s="330" t="s">
        <v>2</v>
      </c>
      <c r="C4" s="330" t="s">
        <v>3</v>
      </c>
      <c r="D4" s="361" t="s">
        <v>4</v>
      </c>
      <c r="E4" s="331" t="s">
        <v>73</v>
      </c>
      <c r="F4" s="330" t="s">
        <v>86</v>
      </c>
      <c r="G4" s="330" t="s">
        <v>74</v>
      </c>
      <c r="H4" s="330" t="s">
        <v>75</v>
      </c>
      <c r="I4" s="330" t="s">
        <v>5</v>
      </c>
      <c r="J4" s="330" t="s">
        <v>6</v>
      </c>
      <c r="K4" s="330" t="s">
        <v>78</v>
      </c>
      <c r="L4" s="330" t="s">
        <v>7</v>
      </c>
      <c r="M4" s="330" t="s">
        <v>8</v>
      </c>
      <c r="N4" s="330" t="s">
        <v>68</v>
      </c>
      <c r="O4" s="330" t="s">
        <v>185</v>
      </c>
    </row>
    <row r="5" spans="1:20" s="61" customFormat="1" x14ac:dyDescent="0.25">
      <c r="A5" s="318"/>
      <c r="B5" s="319"/>
      <c r="C5" s="319"/>
      <c r="D5" s="319"/>
      <c r="E5" s="320"/>
      <c r="F5" s="318"/>
      <c r="G5" s="318"/>
      <c r="H5" s="318"/>
      <c r="I5" s="318"/>
      <c r="J5" s="318"/>
      <c r="K5" s="318"/>
      <c r="L5" s="318"/>
      <c r="M5" s="318"/>
      <c r="N5" s="318"/>
    </row>
    <row r="6" spans="1:20" s="61" customFormat="1" ht="31.5" x14ac:dyDescent="0.5">
      <c r="A6" s="332"/>
      <c r="B6" s="333" t="s">
        <v>9</v>
      </c>
      <c r="C6" s="334"/>
      <c r="D6" s="334"/>
      <c r="E6" s="335"/>
      <c r="F6" s="332"/>
      <c r="G6" s="332"/>
      <c r="H6" s="332"/>
      <c r="I6" s="332"/>
      <c r="J6" s="332"/>
      <c r="K6" s="332"/>
      <c r="L6" s="332"/>
      <c r="M6" s="332"/>
      <c r="N6" s="332"/>
      <c r="O6" s="332"/>
    </row>
    <row r="7" spans="1:20" s="61" customFormat="1" ht="15.75" x14ac:dyDescent="0.25">
      <c r="A7" s="332"/>
      <c r="B7" s="334"/>
      <c r="C7" s="334"/>
      <c r="D7" s="334"/>
      <c r="E7" s="335"/>
      <c r="F7" s="332"/>
      <c r="G7" s="332"/>
      <c r="H7" s="332"/>
      <c r="I7" s="332"/>
      <c r="J7" s="332"/>
      <c r="K7" s="332"/>
      <c r="L7" s="332"/>
      <c r="M7" s="332"/>
      <c r="N7" s="332"/>
      <c r="O7" s="332"/>
    </row>
    <row r="8" spans="1:20" s="61" customFormat="1" ht="15.75" x14ac:dyDescent="0.25">
      <c r="A8" s="332"/>
      <c r="B8" s="334"/>
      <c r="C8" s="334"/>
      <c r="D8" s="334"/>
      <c r="E8" s="335"/>
      <c r="F8" s="332"/>
      <c r="G8" s="332"/>
      <c r="H8" s="332"/>
      <c r="I8" s="332"/>
      <c r="J8" s="332"/>
      <c r="K8" s="332"/>
      <c r="L8" s="332"/>
      <c r="M8" s="332"/>
      <c r="N8" s="332"/>
      <c r="O8" s="332"/>
    </row>
    <row r="9" spans="1:20" s="61" customFormat="1" ht="120" x14ac:dyDescent="0.25">
      <c r="A9" s="272" t="s">
        <v>60</v>
      </c>
      <c r="B9" s="242" t="s">
        <v>11</v>
      </c>
      <c r="C9" s="242" t="s">
        <v>12</v>
      </c>
      <c r="D9" s="242"/>
      <c r="E9" s="245">
        <v>13407970.300000001</v>
      </c>
      <c r="F9" s="245">
        <v>13407970.300000001</v>
      </c>
      <c r="G9" s="336" t="s">
        <v>76</v>
      </c>
      <c r="H9" s="245">
        <v>804478.22</v>
      </c>
      <c r="I9" s="262">
        <v>0.85</v>
      </c>
      <c r="J9" s="263" t="s">
        <v>13</v>
      </c>
      <c r="K9" s="242" t="s">
        <v>239</v>
      </c>
      <c r="L9" s="337" t="s">
        <v>248</v>
      </c>
      <c r="M9" s="263" t="s">
        <v>240</v>
      </c>
      <c r="N9" s="242" t="s">
        <v>0</v>
      </c>
      <c r="O9" s="247" t="s">
        <v>332</v>
      </c>
      <c r="Q9" s="338"/>
      <c r="R9" s="306"/>
      <c r="S9" s="306"/>
      <c r="T9" s="306"/>
    </row>
    <row r="10" spans="1:20" s="61" customFormat="1" ht="120" x14ac:dyDescent="0.25">
      <c r="A10" s="272" t="s">
        <v>10</v>
      </c>
      <c r="B10" s="242" t="s">
        <v>15</v>
      </c>
      <c r="C10" s="242" t="s">
        <v>12</v>
      </c>
      <c r="D10" s="242"/>
      <c r="E10" s="245">
        <v>129729948.23999999</v>
      </c>
      <c r="F10" s="245">
        <v>90200133</v>
      </c>
      <c r="G10" s="245">
        <v>64571381.640000001</v>
      </c>
      <c r="H10" s="245">
        <v>23328751.359999999</v>
      </c>
      <c r="I10" s="339">
        <v>0.71579999999999999</v>
      </c>
      <c r="J10" s="263" t="s">
        <v>17</v>
      </c>
      <c r="K10" s="265" t="s">
        <v>285</v>
      </c>
      <c r="L10" s="242" t="s">
        <v>227</v>
      </c>
      <c r="M10" s="340" t="s">
        <v>228</v>
      </c>
      <c r="N10" s="242" t="s">
        <v>0</v>
      </c>
      <c r="O10" s="247" t="s">
        <v>333</v>
      </c>
      <c r="Q10" s="341"/>
      <c r="R10" s="279"/>
      <c r="S10" s="342"/>
      <c r="T10" s="343"/>
    </row>
    <row r="11" spans="1:20" s="61" customFormat="1" ht="90" x14ac:dyDescent="0.25">
      <c r="A11" s="272" t="s">
        <v>14</v>
      </c>
      <c r="B11" s="242" t="s">
        <v>18</v>
      </c>
      <c r="C11" s="242" t="s">
        <v>12</v>
      </c>
      <c r="D11" s="242"/>
      <c r="E11" s="248">
        <v>38567632.880000003</v>
      </c>
      <c r="F11" s="248">
        <v>38567632.880000003</v>
      </c>
      <c r="G11" s="245">
        <v>30384615.379999999</v>
      </c>
      <c r="H11" s="245">
        <v>8183017.5</v>
      </c>
      <c r="I11" s="262">
        <v>0.83509999999999995</v>
      </c>
      <c r="J11" s="263" t="s">
        <v>19</v>
      </c>
      <c r="K11" s="265" t="s">
        <v>252</v>
      </c>
      <c r="L11" s="242" t="s">
        <v>187</v>
      </c>
      <c r="M11" s="263" t="s">
        <v>23</v>
      </c>
      <c r="N11" s="242" t="s">
        <v>0</v>
      </c>
      <c r="O11" s="247" t="s">
        <v>335</v>
      </c>
      <c r="Q11" s="324"/>
    </row>
    <row r="12" spans="1:20" s="61" customFormat="1" ht="90" x14ac:dyDescent="0.25">
      <c r="A12" s="272" t="s">
        <v>64</v>
      </c>
      <c r="B12" s="242" t="s">
        <v>22</v>
      </c>
      <c r="C12" s="242" t="s">
        <v>12</v>
      </c>
      <c r="D12" s="242"/>
      <c r="E12" s="245">
        <v>18833381.43</v>
      </c>
      <c r="F12" s="245">
        <v>18833381.43</v>
      </c>
      <c r="G12" s="245">
        <v>12806699.359999999</v>
      </c>
      <c r="H12" s="245">
        <v>6026682.0700000003</v>
      </c>
      <c r="I12" s="262">
        <v>0.85</v>
      </c>
      <c r="J12" s="263" t="s">
        <v>19</v>
      </c>
      <c r="K12" s="265" t="s">
        <v>251</v>
      </c>
      <c r="L12" s="242" t="s">
        <v>20</v>
      </c>
      <c r="M12" s="263" t="s">
        <v>23</v>
      </c>
      <c r="N12" s="242" t="s">
        <v>0</v>
      </c>
      <c r="O12" s="247" t="s">
        <v>334</v>
      </c>
    </row>
    <row r="13" spans="1:20" s="61" customFormat="1" ht="105" x14ac:dyDescent="0.25">
      <c r="A13" s="272" t="s">
        <v>21</v>
      </c>
      <c r="B13" s="265" t="s">
        <v>259</v>
      </c>
      <c r="C13" s="265" t="s">
        <v>267</v>
      </c>
      <c r="D13" s="265" t="s">
        <v>268</v>
      </c>
      <c r="E13" s="344">
        <v>12384154.4</v>
      </c>
      <c r="F13" s="345">
        <v>2055610</v>
      </c>
      <c r="G13" s="345">
        <f>F13*85%</f>
        <v>1747268.5</v>
      </c>
      <c r="H13" s="345">
        <f>F13-G13</f>
        <v>308341.5</v>
      </c>
      <c r="I13" s="262">
        <v>0.85</v>
      </c>
      <c r="J13" s="263" t="s">
        <v>13</v>
      </c>
      <c r="K13" s="265"/>
      <c r="L13" s="242" t="s">
        <v>265</v>
      </c>
      <c r="M13" s="265" t="s">
        <v>266</v>
      </c>
      <c r="N13" s="242" t="s">
        <v>0</v>
      </c>
      <c r="O13" s="195"/>
    </row>
    <row r="14" spans="1:20" s="61" customFormat="1" ht="45" x14ac:dyDescent="0.25">
      <c r="A14" s="272" t="s">
        <v>24</v>
      </c>
      <c r="B14" s="265" t="s">
        <v>260</v>
      </c>
      <c r="C14" s="265" t="s">
        <v>261</v>
      </c>
      <c r="D14" s="265" t="s">
        <v>262</v>
      </c>
      <c r="E14" s="346">
        <v>4180000</v>
      </c>
      <c r="F14" s="345">
        <v>618300</v>
      </c>
      <c r="G14" s="345">
        <f>F14*85%</f>
        <v>525555</v>
      </c>
      <c r="H14" s="345">
        <f>F14-G14</f>
        <v>92745</v>
      </c>
      <c r="I14" s="262">
        <v>0.85</v>
      </c>
      <c r="J14" s="263" t="s">
        <v>13</v>
      </c>
      <c r="K14" s="242" t="s">
        <v>26</v>
      </c>
      <c r="L14" s="265" t="s">
        <v>263</v>
      </c>
      <c r="M14" s="265" t="s">
        <v>264</v>
      </c>
      <c r="N14" s="242" t="s">
        <v>0</v>
      </c>
      <c r="O14" s="195"/>
    </row>
    <row r="15" spans="1:20" s="61" customFormat="1" ht="45" x14ac:dyDescent="0.25">
      <c r="A15" s="272" t="s">
        <v>27</v>
      </c>
      <c r="B15" s="265" t="s">
        <v>247</v>
      </c>
      <c r="C15" s="266" t="s">
        <v>44</v>
      </c>
      <c r="D15" s="265" t="s">
        <v>45</v>
      </c>
      <c r="E15" s="267">
        <f>1739785*7.6</f>
        <v>13222366</v>
      </c>
      <c r="F15" s="267">
        <f>125460*7.6</f>
        <v>953496</v>
      </c>
      <c r="G15" s="267">
        <f>106641*7.6</f>
        <v>810471.6</v>
      </c>
      <c r="H15" s="268"/>
      <c r="I15" s="269">
        <v>0.85</v>
      </c>
      <c r="J15" s="266" t="s">
        <v>13</v>
      </c>
      <c r="K15" s="266" t="s">
        <v>26</v>
      </c>
      <c r="L15" s="265" t="s">
        <v>229</v>
      </c>
      <c r="M15" s="270" t="s">
        <v>230</v>
      </c>
      <c r="N15" s="242" t="s">
        <v>0</v>
      </c>
      <c r="O15" s="195"/>
    </row>
    <row r="16" spans="1:20" s="61" customFormat="1" ht="45" x14ac:dyDescent="0.25">
      <c r="A16" s="272" t="s">
        <v>29</v>
      </c>
      <c r="B16" s="271" t="s">
        <v>47</v>
      </c>
      <c r="C16" s="242" t="s">
        <v>48</v>
      </c>
      <c r="D16" s="242" t="s">
        <v>49</v>
      </c>
      <c r="E16" s="267">
        <f>1424097*7.6</f>
        <v>10823137.199999999</v>
      </c>
      <c r="F16" s="267">
        <f>163830*7.6</f>
        <v>1245108</v>
      </c>
      <c r="G16" s="267">
        <f>139255.5*7.6</f>
        <v>1058341.8</v>
      </c>
      <c r="H16" s="267">
        <f>24574.5*7.6</f>
        <v>186766.19999999998</v>
      </c>
      <c r="I16" s="262">
        <v>0.85</v>
      </c>
      <c r="J16" s="263" t="s">
        <v>13</v>
      </c>
      <c r="K16" s="266" t="s">
        <v>26</v>
      </c>
      <c r="L16" s="265" t="s">
        <v>88</v>
      </c>
      <c r="M16" s="263" t="s">
        <v>249</v>
      </c>
      <c r="N16" s="242" t="s">
        <v>0</v>
      </c>
      <c r="O16" s="195"/>
    </row>
    <row r="17" spans="1:18" s="61" customFormat="1" ht="30" x14ac:dyDescent="0.25">
      <c r="A17" s="272" t="s">
        <v>33</v>
      </c>
      <c r="B17" s="287" t="s">
        <v>255</v>
      </c>
      <c r="C17" s="287" t="s">
        <v>12</v>
      </c>
      <c r="D17" s="287" t="s">
        <v>256</v>
      </c>
      <c r="E17" s="347">
        <v>4575481.8</v>
      </c>
      <c r="F17" s="347">
        <v>4575481.8</v>
      </c>
      <c r="G17" s="345">
        <f>F17*85%</f>
        <v>3889159.53</v>
      </c>
      <c r="H17" s="345">
        <f>F17-G17</f>
        <v>686322.27</v>
      </c>
      <c r="I17" s="348">
        <v>0.85</v>
      </c>
      <c r="J17" s="287" t="s">
        <v>13</v>
      </c>
      <c r="K17" s="57"/>
      <c r="L17" s="287" t="s">
        <v>305</v>
      </c>
      <c r="M17" s="287" t="s">
        <v>306</v>
      </c>
      <c r="N17" s="287" t="s">
        <v>69</v>
      </c>
    </row>
    <row r="18" spans="1:18" s="61" customFormat="1" ht="105" x14ac:dyDescent="0.25">
      <c r="A18" s="272" t="s">
        <v>36</v>
      </c>
      <c r="B18" s="287" t="s">
        <v>233</v>
      </c>
      <c r="C18" s="287" t="s">
        <v>12</v>
      </c>
      <c r="D18" s="287"/>
      <c r="E18" s="347">
        <v>6871516.2599999998</v>
      </c>
      <c r="F18" s="347">
        <v>6871516.2599999998</v>
      </c>
      <c r="G18" s="349">
        <v>4147177.25</v>
      </c>
      <c r="H18" s="347">
        <v>1362169.5</v>
      </c>
      <c r="I18" s="304">
        <v>0.6</v>
      </c>
      <c r="J18" s="287" t="s">
        <v>19</v>
      </c>
      <c r="K18" s="287" t="s">
        <v>283</v>
      </c>
      <c r="L18" s="287" t="s">
        <v>232</v>
      </c>
      <c r="M18" s="287" t="s">
        <v>82</v>
      </c>
      <c r="N18" s="350" t="s">
        <v>70</v>
      </c>
    </row>
    <row r="19" spans="1:18" s="61" customFormat="1" ht="90" x14ac:dyDescent="0.25">
      <c r="A19" s="272" t="s">
        <v>40</v>
      </c>
      <c r="B19" s="287" t="s">
        <v>58</v>
      </c>
      <c r="C19" s="287" t="s">
        <v>12</v>
      </c>
      <c r="D19" s="287" t="s">
        <v>80</v>
      </c>
      <c r="E19" s="302">
        <v>1913542.37</v>
      </c>
      <c r="F19" s="302">
        <v>1913542.37</v>
      </c>
      <c r="G19" s="351">
        <v>1167307.9099999999</v>
      </c>
      <c r="H19" s="149">
        <v>373117.23</v>
      </c>
      <c r="I19" s="304">
        <v>0.6</v>
      </c>
      <c r="J19" s="57" t="s">
        <v>26</v>
      </c>
      <c r="K19" s="287" t="s">
        <v>284</v>
      </c>
      <c r="L19" s="33" t="s">
        <v>234</v>
      </c>
      <c r="M19" s="287" t="s">
        <v>82</v>
      </c>
      <c r="N19" s="350" t="s">
        <v>70</v>
      </c>
    </row>
    <row r="20" spans="1:18" s="61" customFormat="1" ht="60" x14ac:dyDescent="0.25">
      <c r="A20" s="272" t="s">
        <v>43</v>
      </c>
      <c r="B20" s="265" t="s">
        <v>72</v>
      </c>
      <c r="C20" s="265" t="s">
        <v>12</v>
      </c>
      <c r="D20" s="265"/>
      <c r="E20" s="267">
        <v>1010150.4</v>
      </c>
      <c r="F20" s="267">
        <v>1010150.4</v>
      </c>
      <c r="G20" s="267">
        <v>858627.84</v>
      </c>
      <c r="H20" s="267">
        <v>0</v>
      </c>
      <c r="I20" s="352">
        <v>0.85</v>
      </c>
      <c r="J20" s="266" t="s">
        <v>13</v>
      </c>
      <c r="K20" s="266" t="s">
        <v>81</v>
      </c>
      <c r="L20" s="265" t="s">
        <v>77</v>
      </c>
      <c r="M20" s="353">
        <v>44838</v>
      </c>
      <c r="N20" s="354" t="s">
        <v>71</v>
      </c>
    </row>
    <row r="21" spans="1:18" s="61" customFormat="1" ht="45" x14ac:dyDescent="0.25">
      <c r="A21" s="272" t="s">
        <v>46</v>
      </c>
      <c r="B21" s="265" t="s">
        <v>201</v>
      </c>
      <c r="C21" s="265" t="s">
        <v>202</v>
      </c>
      <c r="D21" s="265" t="s">
        <v>203</v>
      </c>
      <c r="E21" s="355">
        <v>2495547.37</v>
      </c>
      <c r="F21" s="355">
        <v>0</v>
      </c>
      <c r="G21" s="216">
        <v>0</v>
      </c>
      <c r="H21" s="267">
        <v>0</v>
      </c>
      <c r="I21" s="269">
        <v>1</v>
      </c>
      <c r="J21" s="266" t="s">
        <v>13</v>
      </c>
      <c r="K21" s="265" t="s">
        <v>204</v>
      </c>
      <c r="L21" s="247" t="s">
        <v>223</v>
      </c>
      <c r="M21" s="270" t="s">
        <v>224</v>
      </c>
      <c r="N21" s="242" t="s">
        <v>0</v>
      </c>
      <c r="O21" s="61" t="s">
        <v>331</v>
      </c>
    </row>
    <row r="22" spans="1:18" s="61" customFormat="1" ht="60" x14ac:dyDescent="0.25">
      <c r="A22" s="272" t="s">
        <v>50</v>
      </c>
      <c r="B22" s="208" t="s">
        <v>205</v>
      </c>
      <c r="C22" s="277" t="s">
        <v>12</v>
      </c>
      <c r="D22" s="208" t="s">
        <v>218</v>
      </c>
      <c r="E22" s="356">
        <v>679072.85</v>
      </c>
      <c r="F22" s="356">
        <v>679072.85</v>
      </c>
      <c r="G22" s="351">
        <v>679072.85</v>
      </c>
      <c r="H22" s="216">
        <v>0</v>
      </c>
      <c r="I22" s="217">
        <v>1</v>
      </c>
      <c r="J22" s="218" t="s">
        <v>13</v>
      </c>
      <c r="K22" s="208" t="s">
        <v>204</v>
      </c>
      <c r="L22" s="219" t="s">
        <v>225</v>
      </c>
      <c r="M22" s="220" t="s">
        <v>226</v>
      </c>
      <c r="N22" s="213" t="s">
        <v>71</v>
      </c>
      <c r="O22" s="61" t="s">
        <v>330</v>
      </c>
    </row>
    <row r="23" spans="1:18" s="61" customFormat="1" ht="60" x14ac:dyDescent="0.25">
      <c r="A23" s="272" t="s">
        <v>53</v>
      </c>
      <c r="B23" s="208" t="s">
        <v>308</v>
      </c>
      <c r="C23" s="277" t="s">
        <v>12</v>
      </c>
      <c r="D23" s="208" t="s">
        <v>219</v>
      </c>
      <c r="E23" s="356">
        <v>997071.6</v>
      </c>
      <c r="F23" s="356">
        <v>997071.6</v>
      </c>
      <c r="G23" s="356">
        <v>997071.6</v>
      </c>
      <c r="H23" s="216">
        <v>0</v>
      </c>
      <c r="I23" s="217">
        <v>1</v>
      </c>
      <c r="J23" s="218" t="s">
        <v>13</v>
      </c>
      <c r="K23" s="208" t="s">
        <v>204</v>
      </c>
      <c r="L23" s="219" t="s">
        <v>310</v>
      </c>
      <c r="M23" s="220" t="s">
        <v>309</v>
      </c>
      <c r="N23" s="213" t="s">
        <v>71</v>
      </c>
    </row>
    <row r="24" spans="1:18" s="61" customFormat="1" ht="150" x14ac:dyDescent="0.25">
      <c r="A24" s="272" t="s">
        <v>55</v>
      </c>
      <c r="B24" s="357" t="s">
        <v>236</v>
      </c>
      <c r="C24" s="208" t="s">
        <v>237</v>
      </c>
      <c r="D24" s="277" t="s">
        <v>238</v>
      </c>
      <c r="E24" s="356">
        <v>15345920</v>
      </c>
      <c r="F24" s="356">
        <v>1810921.92</v>
      </c>
      <c r="G24" s="351">
        <v>1539283.632</v>
      </c>
      <c r="H24" s="216">
        <v>271638.28999999998</v>
      </c>
      <c r="I24" s="217">
        <v>0.85</v>
      </c>
      <c r="J24" s="218" t="s">
        <v>13</v>
      </c>
      <c r="K24" s="208"/>
      <c r="L24" s="219" t="s">
        <v>216</v>
      </c>
      <c r="M24" s="221" t="s">
        <v>217</v>
      </c>
      <c r="N24" s="213" t="s">
        <v>71</v>
      </c>
    </row>
    <row r="25" spans="1:18" s="61" customFormat="1" ht="75" x14ac:dyDescent="0.25">
      <c r="A25" s="272" t="s">
        <v>57</v>
      </c>
      <c r="B25" s="222" t="s">
        <v>280</v>
      </c>
      <c r="C25" s="277" t="s">
        <v>12</v>
      </c>
      <c r="D25" s="277"/>
      <c r="E25" s="356">
        <v>73674679.25</v>
      </c>
      <c r="F25" s="223">
        <v>70587304.25</v>
      </c>
      <c r="G25" s="206">
        <v>59999208.609999999</v>
      </c>
      <c r="H25" s="223">
        <v>6675470.6399999997</v>
      </c>
      <c r="I25" s="217">
        <v>0.85</v>
      </c>
      <c r="J25" s="218" t="s">
        <v>26</v>
      </c>
      <c r="K25" s="208" t="s">
        <v>279</v>
      </c>
      <c r="L25" s="224" t="s">
        <v>235</v>
      </c>
      <c r="M25" s="224">
        <v>44750</v>
      </c>
      <c r="N25" s="230" t="s">
        <v>70</v>
      </c>
    </row>
    <row r="26" spans="1:18" s="61" customFormat="1" ht="90" x14ac:dyDescent="0.25">
      <c r="A26" s="272" t="s">
        <v>59</v>
      </c>
      <c r="B26" s="278" t="s">
        <v>61</v>
      </c>
      <c r="C26" s="358" t="s">
        <v>66</v>
      </c>
      <c r="D26" s="278" t="s">
        <v>65</v>
      </c>
      <c r="E26" s="279" t="s">
        <v>241</v>
      </c>
      <c r="F26" s="279">
        <v>338878.5</v>
      </c>
      <c r="G26" s="342">
        <v>44984900.119999997</v>
      </c>
      <c r="H26" s="359">
        <v>101663.55</v>
      </c>
      <c r="I26" s="275">
        <v>0.7</v>
      </c>
      <c r="J26" s="281" t="s">
        <v>13</v>
      </c>
      <c r="K26" s="277" t="s">
        <v>250</v>
      </c>
      <c r="L26" s="278" t="s">
        <v>242</v>
      </c>
      <c r="M26" s="358" t="s">
        <v>243</v>
      </c>
      <c r="N26" s="278" t="s">
        <v>246</v>
      </c>
      <c r="O26" s="61" t="s">
        <v>336</v>
      </c>
    </row>
    <row r="27" spans="1:18" s="61" customFormat="1" ht="90" x14ac:dyDescent="0.25">
      <c r="A27" s="214" t="s">
        <v>83</v>
      </c>
      <c r="B27" s="61" t="s">
        <v>290</v>
      </c>
      <c r="C27" s="278" t="s">
        <v>65</v>
      </c>
      <c r="D27" s="278" t="s">
        <v>328</v>
      </c>
      <c r="E27" s="290" t="s">
        <v>291</v>
      </c>
      <c r="F27" s="290" t="s">
        <v>291</v>
      </c>
      <c r="G27" s="291">
        <v>4240099.83</v>
      </c>
      <c r="H27" s="149">
        <v>884015.42</v>
      </c>
      <c r="I27" s="61">
        <v>85</v>
      </c>
      <c r="J27" s="61" t="s">
        <v>26</v>
      </c>
      <c r="K27" s="277" t="s">
        <v>292</v>
      </c>
      <c r="L27" s="123" t="s">
        <v>294</v>
      </c>
      <c r="M27" s="61" t="s">
        <v>293</v>
      </c>
      <c r="N27" s="230" t="s">
        <v>70</v>
      </c>
    </row>
    <row r="28" spans="1:18" s="61" customFormat="1" ht="60" x14ac:dyDescent="0.25">
      <c r="A28" s="214" t="s">
        <v>84</v>
      </c>
      <c r="B28" s="123" t="s">
        <v>296</v>
      </c>
      <c r="C28" s="278" t="s">
        <v>297</v>
      </c>
      <c r="D28" s="278" t="s">
        <v>300</v>
      </c>
      <c r="E28" s="290">
        <v>2796248</v>
      </c>
      <c r="F28" s="290">
        <v>0</v>
      </c>
      <c r="G28" s="291">
        <v>0</v>
      </c>
      <c r="H28" s="149">
        <v>0</v>
      </c>
      <c r="I28" s="305">
        <v>1</v>
      </c>
      <c r="J28" s="61" t="s">
        <v>13</v>
      </c>
      <c r="K28" s="266" t="s">
        <v>81</v>
      </c>
      <c r="L28" s="278" t="s">
        <v>304</v>
      </c>
      <c r="M28" s="61" t="s">
        <v>303</v>
      </c>
      <c r="N28" s="230" t="s">
        <v>71</v>
      </c>
    </row>
    <row r="29" spans="1:18" s="61" customFormat="1" ht="45" x14ac:dyDescent="0.25">
      <c r="A29" s="214" t="s">
        <v>90</v>
      </c>
      <c r="B29" s="123" t="s">
        <v>325</v>
      </c>
      <c r="C29" s="278" t="s">
        <v>326</v>
      </c>
      <c r="D29" s="278" t="s">
        <v>327</v>
      </c>
      <c r="E29" s="324">
        <v>1999200</v>
      </c>
      <c r="F29" s="290">
        <v>0</v>
      </c>
      <c r="G29" s="291">
        <v>0</v>
      </c>
      <c r="H29" s="149">
        <v>0</v>
      </c>
      <c r="I29" s="305">
        <v>1</v>
      </c>
      <c r="J29" s="61" t="s">
        <v>13</v>
      </c>
      <c r="K29" s="266" t="s">
        <v>81</v>
      </c>
      <c r="L29" s="278" t="s">
        <v>329</v>
      </c>
      <c r="N29" s="242" t="s">
        <v>0</v>
      </c>
      <c r="O29" s="61" t="s">
        <v>330</v>
      </c>
    </row>
    <row r="30" spans="1:18" s="61" customFormat="1" ht="75" x14ac:dyDescent="0.25">
      <c r="A30" s="214" t="s">
        <v>127</v>
      </c>
      <c r="B30" s="123" t="s">
        <v>311</v>
      </c>
      <c r="C30" s="278" t="s">
        <v>65</v>
      </c>
      <c r="D30" s="278" t="s">
        <v>328</v>
      </c>
      <c r="E30" s="290">
        <v>68892459.060000002</v>
      </c>
      <c r="F30" s="290">
        <v>68892459.060000002</v>
      </c>
      <c r="G30" s="290">
        <v>68892459.060000002</v>
      </c>
      <c r="H30" s="149">
        <v>0</v>
      </c>
      <c r="I30" s="305">
        <v>1</v>
      </c>
      <c r="J30" s="61" t="s">
        <v>26</v>
      </c>
      <c r="K30" s="277" t="s">
        <v>312</v>
      </c>
      <c r="L30" s="278" t="s">
        <v>313</v>
      </c>
      <c r="M30" s="306"/>
      <c r="N30" s="230" t="s">
        <v>70</v>
      </c>
    </row>
    <row r="31" spans="1:18" s="61" customFormat="1" ht="26.25" x14ac:dyDescent="0.4">
      <c r="A31" s="313"/>
      <c r="B31" s="367" t="s">
        <v>67</v>
      </c>
      <c r="C31" s="368"/>
      <c r="D31" s="368"/>
      <c r="E31" s="314">
        <f>SUM(E9:E30)</f>
        <v>422399479.41000003</v>
      </c>
      <c r="F31" s="315">
        <f>SUM(F9:F30)</f>
        <v>323558030.62</v>
      </c>
      <c r="G31" s="316">
        <f>SUM(G9:G30)</f>
        <v>303298701.51199996</v>
      </c>
      <c r="H31" s="317">
        <f>SUM(H9:H30)</f>
        <v>49285178.75</v>
      </c>
      <c r="I31" s="313"/>
      <c r="J31" s="313"/>
      <c r="K31" s="313"/>
      <c r="L31" s="313"/>
      <c r="M31" s="313"/>
      <c r="N31" s="313"/>
      <c r="Q31" s="279"/>
      <c r="R31" s="149"/>
    </row>
    <row r="32" spans="1:18" s="61" customFormat="1" x14ac:dyDescent="0.25">
      <c r="A32" s="318"/>
      <c r="B32" s="319"/>
      <c r="C32" s="319"/>
      <c r="D32" s="319"/>
      <c r="E32" s="320"/>
      <c r="F32" s="318"/>
      <c r="G32" s="318"/>
      <c r="H32" s="318"/>
      <c r="I32" s="318"/>
      <c r="J32" s="318"/>
      <c r="K32" s="318"/>
      <c r="L32" s="318"/>
      <c r="M32" s="318"/>
      <c r="N32" s="318"/>
    </row>
    <row r="33" spans="1:14" s="61" customFormat="1" x14ac:dyDescent="0.25">
      <c r="A33" s="321"/>
      <c r="B33" s="319"/>
      <c r="C33" s="319"/>
      <c r="D33" s="319"/>
      <c r="E33" s="320"/>
      <c r="F33" s="318"/>
      <c r="G33" s="318"/>
      <c r="H33" s="318"/>
      <c r="I33" s="318"/>
      <c r="J33" s="318"/>
      <c r="K33" s="318"/>
      <c r="L33" s="318"/>
      <c r="M33" s="318"/>
      <c r="N33" s="318"/>
    </row>
    <row r="34" spans="1:14" s="61" customFormat="1" x14ac:dyDescent="0.25">
      <c r="A34" s="321"/>
      <c r="B34" s="322"/>
      <c r="C34" s="322"/>
      <c r="D34" s="322"/>
      <c r="E34" s="323"/>
      <c r="F34" s="321"/>
      <c r="G34" s="321"/>
      <c r="H34" s="321"/>
      <c r="I34" s="321"/>
      <c r="J34" s="321"/>
      <c r="K34" s="321"/>
      <c r="L34" s="321"/>
      <c r="M34" s="321"/>
      <c r="N34" s="321"/>
    </row>
    <row r="35" spans="1:14" s="61" customFormat="1" x14ac:dyDescent="0.25">
      <c r="A35" s="321"/>
      <c r="B35" s="322" t="s">
        <v>62</v>
      </c>
      <c r="C35" s="322"/>
      <c r="D35" s="322"/>
      <c r="E35" s="279"/>
      <c r="F35" s="321"/>
      <c r="G35" s="321"/>
      <c r="H35" s="321"/>
      <c r="I35" s="321"/>
      <c r="J35" s="321"/>
      <c r="K35" s="321"/>
      <c r="L35" s="321"/>
      <c r="M35" s="321"/>
      <c r="N35" s="321"/>
    </row>
    <row r="36" spans="1:14" s="61" customFormat="1" x14ac:dyDescent="0.25">
      <c r="A36" s="321"/>
      <c r="B36" s="322" t="s">
        <v>63</v>
      </c>
      <c r="C36" s="322"/>
      <c r="D36" s="322"/>
      <c r="E36" s="279"/>
      <c r="F36" s="321"/>
      <c r="G36" s="321"/>
      <c r="H36" s="321"/>
      <c r="I36" s="321"/>
      <c r="J36" s="321"/>
      <c r="K36" s="321"/>
      <c r="L36" s="321"/>
      <c r="M36" s="321"/>
      <c r="N36" s="321"/>
    </row>
    <row r="37" spans="1:14" s="61" customFormat="1" x14ac:dyDescent="0.25">
      <c r="F37" s="324"/>
    </row>
    <row r="38" spans="1:14" s="61" customFormat="1" x14ac:dyDescent="0.25">
      <c r="E38" s="149"/>
      <c r="F38" s="290"/>
      <c r="G38" s="325"/>
      <c r="H38" s="149"/>
    </row>
    <row r="39" spans="1:14" s="61" customFormat="1" x14ac:dyDescent="0.25">
      <c r="F39" s="302"/>
    </row>
    <row r="40" spans="1:14" s="61" customFormat="1" x14ac:dyDescent="0.25">
      <c r="F40" s="149"/>
    </row>
    <row r="41" spans="1:14" s="61" customFormat="1" x14ac:dyDescent="0.25">
      <c r="F41" s="149"/>
    </row>
    <row r="42" spans="1:14" s="61" customFormat="1" x14ac:dyDescent="0.25">
      <c r="F42" s="362"/>
      <c r="G42" s="363"/>
      <c r="H42" s="149"/>
    </row>
    <row r="43" spans="1:14" s="225" customFormat="1" x14ac:dyDescent="0.25"/>
    <row r="44" spans="1:14" s="225" customFormat="1" x14ac:dyDescent="0.25"/>
    <row r="45" spans="1:14" s="225" customFormat="1" x14ac:dyDescent="0.25"/>
    <row r="46" spans="1:14" s="225" customFormat="1" x14ac:dyDescent="0.25"/>
    <row r="47" spans="1:14" s="225" customFormat="1" x14ac:dyDescent="0.25"/>
    <row r="48" spans="1:14" s="225" customFormat="1" x14ac:dyDescent="0.25"/>
    <row r="49" s="225" customFormat="1" x14ac:dyDescent="0.25"/>
    <row r="50" s="225" customFormat="1" x14ac:dyDescent="0.25"/>
    <row r="51" s="225" customFormat="1" x14ac:dyDescent="0.25"/>
    <row r="52" s="225" customFormat="1" x14ac:dyDescent="0.25"/>
    <row r="53" s="225" customFormat="1" x14ac:dyDescent="0.25"/>
    <row r="54" s="225" customFormat="1" x14ac:dyDescent="0.25"/>
    <row r="55" s="225" customFormat="1" x14ac:dyDescent="0.25"/>
    <row r="56" s="225" customFormat="1" x14ac:dyDescent="0.25"/>
    <row r="57" s="225" customFormat="1" x14ac:dyDescent="0.25"/>
    <row r="58" s="225" customFormat="1" x14ac:dyDescent="0.25"/>
    <row r="59" s="225" customFormat="1" x14ac:dyDescent="0.25"/>
    <row r="60" s="225" customFormat="1" x14ac:dyDescent="0.25"/>
    <row r="61" s="225" customFormat="1" x14ac:dyDescent="0.25"/>
    <row r="62" s="225" customFormat="1" x14ac:dyDescent="0.25"/>
    <row r="63" s="225" customFormat="1" x14ac:dyDescent="0.25"/>
    <row r="64" s="225" customFormat="1" x14ac:dyDescent="0.25"/>
    <row r="65" s="225" customFormat="1" x14ac:dyDescent="0.25"/>
    <row r="66" s="225" customFormat="1" x14ac:dyDescent="0.25"/>
    <row r="67" s="225" customFormat="1" x14ac:dyDescent="0.25"/>
    <row r="68" s="225" customFormat="1" x14ac:dyDescent="0.25"/>
    <row r="69" s="225" customFormat="1" x14ac:dyDescent="0.25"/>
    <row r="70" s="225" customFormat="1" x14ac:dyDescent="0.25"/>
    <row r="71" s="225" customFormat="1" x14ac:dyDescent="0.25"/>
    <row r="72" s="225" customFormat="1" x14ac:dyDescent="0.25"/>
    <row r="73" s="225" customFormat="1" x14ac:dyDescent="0.25"/>
    <row r="74" s="225" customFormat="1" x14ac:dyDescent="0.25"/>
    <row r="75" s="225" customFormat="1" x14ac:dyDescent="0.25"/>
    <row r="76" s="225" customFormat="1" x14ac:dyDescent="0.25"/>
    <row r="77" s="225" customFormat="1" x14ac:dyDescent="0.25"/>
    <row r="78" s="225" customFormat="1" x14ac:dyDescent="0.25"/>
    <row r="79" s="225" customFormat="1" x14ac:dyDescent="0.25"/>
    <row r="80" s="225" customFormat="1" x14ac:dyDescent="0.25"/>
    <row r="81" s="225" customFormat="1" x14ac:dyDescent="0.25"/>
    <row r="82" s="225" customFormat="1" x14ac:dyDescent="0.25"/>
    <row r="83" s="225" customFormat="1" x14ac:dyDescent="0.25"/>
    <row r="84" s="225" customFormat="1" x14ac:dyDescent="0.25"/>
    <row r="85" s="225" customFormat="1" x14ac:dyDescent="0.25"/>
    <row r="86" s="225" customFormat="1" x14ac:dyDescent="0.25"/>
    <row r="87" s="225" customFormat="1" x14ac:dyDescent="0.25"/>
    <row r="88" s="225" customFormat="1" x14ac:dyDescent="0.25"/>
    <row r="89" s="225" customFormat="1" x14ac:dyDescent="0.25"/>
    <row r="90" s="225" customFormat="1" x14ac:dyDescent="0.25"/>
    <row r="91" s="225" customFormat="1" x14ac:dyDescent="0.25"/>
    <row r="92" s="225" customFormat="1" x14ac:dyDescent="0.25"/>
    <row r="93" s="225" customFormat="1" x14ac:dyDescent="0.25"/>
    <row r="94" s="225" customFormat="1" x14ac:dyDescent="0.25"/>
    <row r="95" s="225" customFormat="1" x14ac:dyDescent="0.25"/>
    <row r="96" s="225" customFormat="1" x14ac:dyDescent="0.25"/>
    <row r="97" s="225" customFormat="1" x14ac:dyDescent="0.25"/>
    <row r="98" s="225" customFormat="1" x14ac:dyDescent="0.25"/>
    <row r="99" s="225" customFormat="1" x14ac:dyDescent="0.25"/>
    <row r="100" s="225" customFormat="1" x14ac:dyDescent="0.25"/>
    <row r="101" s="225" customFormat="1" x14ac:dyDescent="0.25"/>
    <row r="102" s="225" customFormat="1" x14ac:dyDescent="0.25"/>
    <row r="103" s="225" customFormat="1" x14ac:dyDescent="0.25"/>
    <row r="104" s="225" customFormat="1" x14ac:dyDescent="0.25"/>
    <row r="105" s="225" customFormat="1" x14ac:dyDescent="0.25"/>
    <row r="106" s="225" customFormat="1" x14ac:dyDescent="0.25"/>
    <row r="107" s="225" customFormat="1" x14ac:dyDescent="0.25"/>
    <row r="108" s="225" customFormat="1" x14ac:dyDescent="0.25"/>
  </sheetData>
  <mergeCells count="2">
    <mergeCell ref="A1:N2"/>
    <mergeCell ref="B31:D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7"/>
  <sheetViews>
    <sheetView topLeftCell="A50" workbookViewId="0">
      <selection activeCell="D53" sqref="A9:O55"/>
    </sheetView>
  </sheetViews>
  <sheetFormatPr defaultRowHeight="15" x14ac:dyDescent="0.25"/>
  <cols>
    <col min="1" max="1" width="6.85546875" customWidth="1"/>
    <col min="2" max="2" width="30.28515625" customWidth="1"/>
    <col min="3" max="3" width="15.5703125" customWidth="1"/>
    <col min="4" max="4" width="32.7109375" customWidth="1"/>
    <col min="5" max="5" width="24.5703125" customWidth="1"/>
    <col min="6" max="6" width="25.28515625" customWidth="1"/>
    <col min="7" max="7" width="24.140625" customWidth="1"/>
    <col min="8" max="8" width="22.28515625" customWidth="1"/>
    <col min="9" max="10" width="15.85546875" customWidth="1"/>
    <col min="11" max="11" width="10.5703125" customWidth="1"/>
    <col min="12" max="12" width="12.85546875" customWidth="1"/>
    <col min="13" max="13" width="26.140625" customWidth="1"/>
    <col min="14" max="14" width="17.85546875" customWidth="1"/>
  </cols>
  <sheetData>
    <row r="1" spans="1:14" x14ac:dyDescent="0.25">
      <c r="A1" s="369" t="s">
        <v>94</v>
      </c>
      <c r="B1" s="370"/>
      <c r="C1" s="370"/>
      <c r="D1" s="370"/>
      <c r="E1" s="370"/>
      <c r="F1" s="370"/>
      <c r="G1" s="370"/>
      <c r="H1" s="370"/>
      <c r="I1" s="370"/>
      <c r="J1" s="370"/>
      <c r="K1" s="370"/>
      <c r="L1" s="370"/>
      <c r="M1" s="370"/>
    </row>
    <row r="2" spans="1:14" x14ac:dyDescent="0.25">
      <c r="A2" s="371"/>
      <c r="B2" s="371"/>
      <c r="C2" s="371"/>
      <c r="D2" s="371"/>
      <c r="E2" s="371"/>
      <c r="F2" s="371"/>
      <c r="G2" s="371"/>
      <c r="H2" s="371"/>
      <c r="I2" s="371"/>
      <c r="J2" s="371"/>
      <c r="K2" s="371"/>
      <c r="L2" s="371"/>
      <c r="M2" s="371"/>
    </row>
    <row r="3" spans="1:14" x14ac:dyDescent="0.25">
      <c r="A3" s="9"/>
      <c r="B3" s="10"/>
      <c r="C3" s="11"/>
      <c r="D3" s="10"/>
      <c r="E3" s="10"/>
      <c r="F3" s="12"/>
      <c r="G3" s="11"/>
      <c r="H3" s="11"/>
      <c r="I3" s="11"/>
      <c r="J3" s="11"/>
      <c r="K3" s="11"/>
      <c r="L3" s="11"/>
      <c r="M3" s="13"/>
    </row>
    <row r="4" spans="1:14" ht="94.5" x14ac:dyDescent="0.25">
      <c r="A4" s="1" t="s">
        <v>1</v>
      </c>
      <c r="B4" s="1" t="s">
        <v>2</v>
      </c>
      <c r="C4" s="1" t="s">
        <v>3</v>
      </c>
      <c r="D4" s="360" t="s">
        <v>4</v>
      </c>
      <c r="E4" s="41" t="s">
        <v>73</v>
      </c>
      <c r="F4" s="1" t="s">
        <v>86</v>
      </c>
      <c r="G4" s="42" t="s">
        <v>74</v>
      </c>
      <c r="H4" s="42" t="s">
        <v>75</v>
      </c>
      <c r="I4" s="1" t="s">
        <v>5</v>
      </c>
      <c r="J4" s="1" t="s">
        <v>6</v>
      </c>
      <c r="K4" s="1" t="s">
        <v>7</v>
      </c>
      <c r="L4" s="96" t="s">
        <v>150</v>
      </c>
      <c r="M4" s="96" t="s">
        <v>151</v>
      </c>
      <c r="N4" s="42" t="s">
        <v>185</v>
      </c>
    </row>
    <row r="5" spans="1:14" x14ac:dyDescent="0.25">
      <c r="A5" s="14"/>
      <c r="B5" s="15"/>
      <c r="C5" s="15"/>
      <c r="D5" s="15"/>
      <c r="E5" s="16"/>
      <c r="F5" s="14"/>
      <c r="G5" s="14"/>
      <c r="H5" s="14"/>
      <c r="I5" s="14"/>
      <c r="J5" s="14"/>
      <c r="K5" s="14"/>
      <c r="L5" s="2"/>
      <c r="M5" s="2"/>
    </row>
    <row r="6" spans="1:14" ht="52.5" x14ac:dyDescent="0.4">
      <c r="A6" s="17"/>
      <c r="B6" s="60" t="s">
        <v>95</v>
      </c>
      <c r="C6" s="18"/>
      <c r="D6" s="18"/>
      <c r="E6" s="19"/>
      <c r="F6" s="17"/>
      <c r="G6" s="17"/>
      <c r="H6" s="17"/>
      <c r="I6" s="17"/>
      <c r="J6" s="17"/>
      <c r="K6" s="17"/>
      <c r="L6" s="3"/>
      <c r="M6" s="145"/>
      <c r="N6" s="145"/>
    </row>
    <row r="7" spans="1:14" ht="31.5" x14ac:dyDescent="0.25">
      <c r="A7" s="17"/>
      <c r="B7" s="91" t="s">
        <v>149</v>
      </c>
      <c r="C7" s="18"/>
      <c r="D7" s="18"/>
      <c r="E7" s="19"/>
      <c r="F7" s="17"/>
      <c r="G7" s="17"/>
      <c r="H7" s="17"/>
      <c r="I7" s="17"/>
      <c r="J7" s="17"/>
      <c r="K7" s="17"/>
      <c r="L7" s="3"/>
      <c r="M7" s="145"/>
      <c r="N7" s="145"/>
    </row>
    <row r="8" spans="1:14" ht="15.75" x14ac:dyDescent="0.25">
      <c r="A8" s="17"/>
      <c r="B8" s="18"/>
      <c r="C8" s="18"/>
      <c r="D8" s="18"/>
      <c r="E8" s="19"/>
      <c r="F8" s="17"/>
      <c r="G8" s="17"/>
      <c r="H8" s="17"/>
      <c r="I8" s="17"/>
      <c r="J8" s="17"/>
      <c r="K8" s="17"/>
      <c r="L8" s="3"/>
      <c r="M8" s="145"/>
      <c r="N8" s="145"/>
    </row>
    <row r="9" spans="1:14" ht="45" customHeight="1" x14ac:dyDescent="0.25">
      <c r="A9" s="20" t="s">
        <v>60</v>
      </c>
      <c r="B9" s="56" t="s">
        <v>97</v>
      </c>
      <c r="C9" s="56" t="s">
        <v>12</v>
      </c>
      <c r="D9" s="56"/>
      <c r="E9" s="48">
        <v>1880250</v>
      </c>
      <c r="F9" s="48">
        <v>1880250</v>
      </c>
      <c r="G9" s="45">
        <v>1494798.75</v>
      </c>
      <c r="H9" s="48">
        <v>385451.25</v>
      </c>
      <c r="I9" s="62">
        <v>0.79500000000000004</v>
      </c>
      <c r="J9" s="54" t="s">
        <v>26</v>
      </c>
      <c r="K9" s="56" t="s">
        <v>98</v>
      </c>
      <c r="L9" s="22"/>
      <c r="M9" s="24" t="s">
        <v>0</v>
      </c>
      <c r="N9" s="146"/>
    </row>
    <row r="10" spans="1:14" ht="75" x14ac:dyDescent="0.25">
      <c r="A10" s="20" t="s">
        <v>10</v>
      </c>
      <c r="B10" s="56" t="s">
        <v>99</v>
      </c>
      <c r="C10" s="56" t="s">
        <v>12</v>
      </c>
      <c r="D10" s="56" t="s">
        <v>100</v>
      </c>
      <c r="E10" s="139">
        <f>247016*7.6</f>
        <v>1877321.5999999999</v>
      </c>
      <c r="F10" s="139">
        <f>60930*7.6</f>
        <v>463068</v>
      </c>
      <c r="G10" s="140">
        <f>51791*7.6</f>
        <v>393611.6</v>
      </c>
      <c r="H10" s="139">
        <f>9139*7.6</f>
        <v>69456.399999999994</v>
      </c>
      <c r="I10" s="62">
        <v>0.85</v>
      </c>
      <c r="J10" s="54" t="s">
        <v>13</v>
      </c>
      <c r="K10" s="54" t="s">
        <v>98</v>
      </c>
      <c r="L10" s="273" t="s">
        <v>176</v>
      </c>
      <c r="M10" s="24" t="s">
        <v>175</v>
      </c>
      <c r="N10" s="61"/>
    </row>
    <row r="11" spans="1:14" ht="90" x14ac:dyDescent="0.25">
      <c r="A11" s="64" t="s">
        <v>14</v>
      </c>
      <c r="B11" s="21" t="s">
        <v>101</v>
      </c>
      <c r="C11" s="23" t="s">
        <v>12</v>
      </c>
      <c r="D11" s="23"/>
      <c r="E11" s="43">
        <v>5723272.1900000004</v>
      </c>
      <c r="F11" s="43">
        <v>5723272.1900000004</v>
      </c>
      <c r="G11" s="44">
        <v>2907056.67</v>
      </c>
      <c r="H11" s="48">
        <f>F11-G11</f>
        <v>2816215.5200000005</v>
      </c>
      <c r="I11" s="29">
        <v>0.78580000000000005</v>
      </c>
      <c r="J11" s="25" t="s">
        <v>26</v>
      </c>
      <c r="K11" s="25" t="s">
        <v>98</v>
      </c>
      <c r="L11" s="236" t="s">
        <v>177</v>
      </c>
      <c r="M11" s="24" t="s">
        <v>175</v>
      </c>
      <c r="N11" s="123" t="s">
        <v>200</v>
      </c>
    </row>
    <row r="12" spans="1:14" ht="45" customHeight="1" x14ac:dyDescent="0.25">
      <c r="A12" s="66" t="s">
        <v>64</v>
      </c>
      <c r="B12" s="235" t="s">
        <v>102</v>
      </c>
      <c r="C12" s="24" t="s">
        <v>12</v>
      </c>
      <c r="D12" s="24"/>
      <c r="E12" s="59">
        <v>5589115.0700000003</v>
      </c>
      <c r="F12" s="59">
        <v>5589115.0700000003</v>
      </c>
      <c r="G12" s="177">
        <v>2317611.2400000002</v>
      </c>
      <c r="H12" s="48">
        <f>F12-G12</f>
        <v>3271503.83</v>
      </c>
      <c r="I12" s="31">
        <v>0.78439999999999999</v>
      </c>
      <c r="J12" s="32" t="s">
        <v>26</v>
      </c>
      <c r="K12" s="32" t="s">
        <v>98</v>
      </c>
      <c r="L12" s="132" t="s">
        <v>177</v>
      </c>
      <c r="M12" s="24" t="s">
        <v>175</v>
      </c>
      <c r="N12" s="123" t="s">
        <v>200</v>
      </c>
    </row>
    <row r="13" spans="1:14" ht="69.75" customHeight="1" x14ac:dyDescent="0.25">
      <c r="A13" s="65" t="s">
        <v>21</v>
      </c>
      <c r="B13" s="33" t="s">
        <v>103</v>
      </c>
      <c r="C13" s="33" t="s">
        <v>12</v>
      </c>
      <c r="D13" s="33" t="s">
        <v>104</v>
      </c>
      <c r="E13" s="49">
        <v>623000</v>
      </c>
      <c r="F13" s="49">
        <v>623000</v>
      </c>
      <c r="G13" s="172">
        <v>623000</v>
      </c>
      <c r="H13" s="49">
        <v>0</v>
      </c>
      <c r="I13" s="35">
        <v>1</v>
      </c>
      <c r="J13" s="34" t="s">
        <v>26</v>
      </c>
      <c r="K13" s="34" t="s">
        <v>98</v>
      </c>
      <c r="L13" s="94" t="s">
        <v>178</v>
      </c>
      <c r="M13" s="24" t="s">
        <v>71</v>
      </c>
      <c r="N13" s="61"/>
    </row>
    <row r="14" spans="1:14" ht="90" x14ac:dyDescent="0.25">
      <c r="A14" s="26" t="s">
        <v>24</v>
      </c>
      <c r="B14" s="24" t="s">
        <v>106</v>
      </c>
      <c r="C14" s="24" t="s">
        <v>105</v>
      </c>
      <c r="D14" s="24" t="s">
        <v>12</v>
      </c>
      <c r="E14" s="59">
        <f>2514130*7.6</f>
        <v>19107388</v>
      </c>
      <c r="F14" s="173">
        <f>186685*7.6</f>
        <v>1418806</v>
      </c>
      <c r="G14" s="128">
        <f>158682*7.6</f>
        <v>1205983.2</v>
      </c>
      <c r="H14" s="59">
        <f>28003*7.6</f>
        <v>212822.8</v>
      </c>
      <c r="I14" s="134">
        <v>0.85</v>
      </c>
      <c r="J14" s="92" t="s">
        <v>13</v>
      </c>
      <c r="K14" s="108" t="s">
        <v>98</v>
      </c>
      <c r="L14" s="95">
        <v>43983</v>
      </c>
      <c r="M14" s="24" t="s">
        <v>0</v>
      </c>
      <c r="N14" s="123" t="s">
        <v>200</v>
      </c>
    </row>
    <row r="15" spans="1:14" ht="60" x14ac:dyDescent="0.25">
      <c r="A15" s="20" t="s">
        <v>27</v>
      </c>
      <c r="B15" s="234" t="s">
        <v>295</v>
      </c>
      <c r="C15" s="99" t="s">
        <v>12</v>
      </c>
      <c r="D15" s="141"/>
      <c r="E15" s="47">
        <v>66054649.109999999</v>
      </c>
      <c r="F15" s="47">
        <v>66054649.109999999</v>
      </c>
      <c r="G15" s="143" t="s">
        <v>183</v>
      </c>
      <c r="H15" s="47">
        <v>13437454.619999999</v>
      </c>
      <c r="I15" s="27">
        <v>0.84089999999999998</v>
      </c>
      <c r="J15" s="28" t="s">
        <v>26</v>
      </c>
      <c r="K15" s="63" t="s">
        <v>98</v>
      </c>
      <c r="L15" s="144" t="s">
        <v>184</v>
      </c>
      <c r="M15" s="24" t="s">
        <v>0</v>
      </c>
      <c r="N15" s="123" t="s">
        <v>186</v>
      </c>
    </row>
    <row r="16" spans="1:14" ht="75" x14ac:dyDescent="0.25">
      <c r="A16" s="20" t="s">
        <v>29</v>
      </c>
      <c r="B16" s="67" t="s">
        <v>107</v>
      </c>
      <c r="C16" s="100" t="s">
        <v>12</v>
      </c>
      <c r="D16" s="109"/>
      <c r="E16" s="129" t="s">
        <v>173</v>
      </c>
      <c r="F16" s="129" t="s">
        <v>173</v>
      </c>
      <c r="G16" s="128">
        <v>2008125</v>
      </c>
      <c r="H16" s="129">
        <v>354375</v>
      </c>
      <c r="I16" s="68">
        <v>0.85</v>
      </c>
      <c r="J16" s="131" t="s">
        <v>19</v>
      </c>
      <c r="K16" s="98" t="s">
        <v>98</v>
      </c>
      <c r="L16" s="93" t="s">
        <v>174</v>
      </c>
      <c r="M16" s="37" t="s">
        <v>70</v>
      </c>
      <c r="N16" s="61"/>
    </row>
    <row r="17" spans="1:14" ht="60" x14ac:dyDescent="0.25">
      <c r="A17" s="20" t="s">
        <v>33</v>
      </c>
      <c r="B17" s="69" t="s">
        <v>108</v>
      </c>
      <c r="C17" s="101" t="s">
        <v>12</v>
      </c>
      <c r="D17" s="110"/>
      <c r="E17" s="181" t="s">
        <v>180</v>
      </c>
      <c r="F17" s="46" t="s">
        <v>180</v>
      </c>
      <c r="G17" s="45">
        <v>2944972</v>
      </c>
      <c r="H17" s="46">
        <v>778549</v>
      </c>
      <c r="I17" s="130">
        <v>0.85</v>
      </c>
      <c r="J17" s="125" t="s">
        <v>26</v>
      </c>
      <c r="K17" s="24" t="s">
        <v>98</v>
      </c>
      <c r="L17" s="142" t="s">
        <v>181</v>
      </c>
      <c r="M17" s="37" t="s">
        <v>70</v>
      </c>
      <c r="N17" s="61"/>
    </row>
    <row r="18" spans="1:14" ht="60" x14ac:dyDescent="0.25">
      <c r="A18" s="26" t="s">
        <v>36</v>
      </c>
      <c r="B18" s="69" t="s">
        <v>109</v>
      </c>
      <c r="C18" s="101" t="s">
        <v>12</v>
      </c>
      <c r="D18" s="110"/>
      <c r="E18" s="46">
        <v>4228754</v>
      </c>
      <c r="F18" s="46">
        <v>4228754</v>
      </c>
      <c r="G18" s="45" t="s">
        <v>179</v>
      </c>
      <c r="H18" s="46">
        <v>821834</v>
      </c>
      <c r="I18" s="130">
        <v>0.85</v>
      </c>
      <c r="J18" s="125" t="s">
        <v>26</v>
      </c>
      <c r="K18" s="24" t="s">
        <v>98</v>
      </c>
      <c r="L18" s="142" t="s">
        <v>182</v>
      </c>
      <c r="M18" s="37" t="s">
        <v>70</v>
      </c>
      <c r="N18" s="61"/>
    </row>
    <row r="19" spans="1:14" ht="75" x14ac:dyDescent="0.25">
      <c r="A19" s="20" t="s">
        <v>40</v>
      </c>
      <c r="B19" s="278" t="s">
        <v>281</v>
      </c>
      <c r="C19" s="278" t="s">
        <v>65</v>
      </c>
      <c r="D19" s="278"/>
      <c r="E19" s="279">
        <v>37873964.049999997</v>
      </c>
      <c r="F19" s="279">
        <v>37873964.049999997</v>
      </c>
      <c r="G19" s="279">
        <v>29998806.940000001</v>
      </c>
      <c r="H19" s="149">
        <v>1728203.55</v>
      </c>
      <c r="I19" s="275">
        <v>0.85</v>
      </c>
      <c r="J19" s="281" t="s">
        <v>26</v>
      </c>
      <c r="K19" s="24" t="s">
        <v>98</v>
      </c>
      <c r="L19" s="278" t="s">
        <v>286</v>
      </c>
      <c r="M19" s="37" t="s">
        <v>70</v>
      </c>
      <c r="N19" s="277" t="s">
        <v>282</v>
      </c>
    </row>
    <row r="20" spans="1:14" ht="90" x14ac:dyDescent="0.25">
      <c r="A20" s="20" t="s">
        <v>43</v>
      </c>
      <c r="B20" s="293" t="s">
        <v>110</v>
      </c>
      <c r="C20" s="102" t="s">
        <v>111</v>
      </c>
      <c r="D20" s="111" t="s">
        <v>112</v>
      </c>
      <c r="E20" s="48">
        <f>1066008*7.6</f>
        <v>8101660.7999999998</v>
      </c>
      <c r="F20" s="48">
        <f>438801*7.6</f>
        <v>3334887.5999999996</v>
      </c>
      <c r="G20" s="45">
        <f>372981*7.6</f>
        <v>2834655.6</v>
      </c>
      <c r="H20" s="231">
        <v>216094.89</v>
      </c>
      <c r="I20" s="62">
        <v>0.85</v>
      </c>
      <c r="J20" s="54" t="s">
        <v>13</v>
      </c>
      <c r="K20" s="117" t="s">
        <v>98</v>
      </c>
      <c r="L20" s="70">
        <v>43830</v>
      </c>
      <c r="M20" s="24" t="s">
        <v>0</v>
      </c>
      <c r="N20" s="123" t="s">
        <v>200</v>
      </c>
    </row>
    <row r="21" spans="1:14" ht="45" x14ac:dyDescent="0.25">
      <c r="A21" s="26" t="s">
        <v>46</v>
      </c>
      <c r="B21" s="56" t="s">
        <v>113</v>
      </c>
      <c r="C21" s="102" t="s">
        <v>12</v>
      </c>
      <c r="D21" s="111" t="s">
        <v>114</v>
      </c>
      <c r="E21" s="48">
        <f>1395190*7.6</f>
        <v>10603444</v>
      </c>
      <c r="F21" s="48">
        <f>319693*7.6</f>
        <v>2429666.7999999998</v>
      </c>
      <c r="G21" s="45">
        <f>271739*7.6</f>
        <v>2065216.4</v>
      </c>
      <c r="H21" s="48">
        <f>F21-G21</f>
        <v>364450.39999999991</v>
      </c>
      <c r="I21" s="62">
        <v>0.85</v>
      </c>
      <c r="J21" s="54" t="s">
        <v>13</v>
      </c>
      <c r="K21" s="63" t="s">
        <v>98</v>
      </c>
      <c r="L21" s="70">
        <v>43844</v>
      </c>
      <c r="M21" s="7" t="s">
        <v>69</v>
      </c>
      <c r="N21" s="61"/>
    </row>
    <row r="22" spans="1:14" ht="45" x14ac:dyDescent="0.25">
      <c r="A22" s="26" t="s">
        <v>50</v>
      </c>
      <c r="B22" s="21" t="s">
        <v>115</v>
      </c>
      <c r="C22" s="102" t="s">
        <v>12</v>
      </c>
      <c r="D22" s="111" t="s">
        <v>16</v>
      </c>
      <c r="E22" s="46" t="s">
        <v>188</v>
      </c>
      <c r="F22" s="46" t="s">
        <v>188</v>
      </c>
      <c r="G22" s="45">
        <v>4007707.16</v>
      </c>
      <c r="H22" s="48">
        <v>968801.8</v>
      </c>
      <c r="I22" s="62">
        <v>0.80530000000000002</v>
      </c>
      <c r="J22" s="54" t="s">
        <v>13</v>
      </c>
      <c r="K22" s="63" t="s">
        <v>98</v>
      </c>
      <c r="L22" s="237" t="s">
        <v>189</v>
      </c>
      <c r="M22" s="24" t="s">
        <v>0</v>
      </c>
      <c r="N22" s="61"/>
    </row>
    <row r="23" spans="1:14" ht="60" x14ac:dyDescent="0.25">
      <c r="A23" s="26" t="s">
        <v>53</v>
      </c>
      <c r="B23" s="56" t="s">
        <v>116</v>
      </c>
      <c r="C23" s="102" t="s">
        <v>117</v>
      </c>
      <c r="D23" s="111" t="s">
        <v>118</v>
      </c>
      <c r="E23" s="164">
        <f>624220.25*7.6</f>
        <v>4744073.8999999994</v>
      </c>
      <c r="F23" s="164">
        <f>199938.43*7.6</f>
        <v>1519532.068</v>
      </c>
      <c r="G23" s="45">
        <f>H23*7.6</f>
        <v>1291604.8</v>
      </c>
      <c r="H23" s="48">
        <v>169948</v>
      </c>
      <c r="I23" s="62">
        <v>0.15</v>
      </c>
      <c r="J23" s="54" t="s">
        <v>13</v>
      </c>
      <c r="K23" s="63" t="s">
        <v>98</v>
      </c>
      <c r="L23" s="70">
        <v>43844</v>
      </c>
      <c r="M23" s="37" t="s">
        <v>70</v>
      </c>
      <c r="N23" s="61"/>
    </row>
    <row r="24" spans="1:14" ht="45" customHeight="1" x14ac:dyDescent="0.25">
      <c r="A24" s="26" t="s">
        <v>55</v>
      </c>
      <c r="B24" s="21" t="s">
        <v>119</v>
      </c>
      <c r="C24" s="102" t="s">
        <v>120</v>
      </c>
      <c r="D24" s="111" t="s">
        <v>12</v>
      </c>
      <c r="E24" s="48">
        <v>6169886.4199999999</v>
      </c>
      <c r="F24" s="48">
        <v>6169886.4199999999</v>
      </c>
      <c r="G24" s="45">
        <v>5020404.83</v>
      </c>
      <c r="H24" s="48">
        <f>F24-G24</f>
        <v>1149481.5899999999</v>
      </c>
      <c r="I24" s="62">
        <v>1</v>
      </c>
      <c r="J24" s="54" t="s">
        <v>13</v>
      </c>
      <c r="K24" s="63" t="s">
        <v>98</v>
      </c>
      <c r="L24" s="70">
        <v>43556</v>
      </c>
      <c r="M24" s="24" t="s">
        <v>0</v>
      </c>
      <c r="N24" s="123" t="s">
        <v>199</v>
      </c>
    </row>
    <row r="25" spans="1:14" ht="180" customHeight="1" x14ac:dyDescent="0.25">
      <c r="A25" s="26" t="s">
        <v>57</v>
      </c>
      <c r="B25" s="56" t="s">
        <v>121</v>
      </c>
      <c r="C25" s="102" t="s">
        <v>122</v>
      </c>
      <c r="D25" s="111" t="s">
        <v>123</v>
      </c>
      <c r="E25" s="48">
        <f>2222863*7.6</f>
        <v>16893758.800000001</v>
      </c>
      <c r="F25" s="48">
        <f>160070*7.6</f>
        <v>1216532</v>
      </c>
      <c r="G25" s="45">
        <f>136060*7.6</f>
        <v>1034056</v>
      </c>
      <c r="H25" s="48">
        <f>24011*7.6</f>
        <v>182483.6</v>
      </c>
      <c r="I25" s="62">
        <v>0.85</v>
      </c>
      <c r="J25" s="54" t="s">
        <v>13</v>
      </c>
      <c r="K25" s="63" t="s">
        <v>98</v>
      </c>
      <c r="L25" s="70" t="s">
        <v>124</v>
      </c>
      <c r="M25" s="37" t="s">
        <v>70</v>
      </c>
      <c r="N25" s="61"/>
    </row>
    <row r="26" spans="1:14" ht="60" x14ac:dyDescent="0.25">
      <c r="A26" s="26" t="s">
        <v>59</v>
      </c>
      <c r="B26" s="33" t="s">
        <v>125</v>
      </c>
      <c r="C26" s="103" t="s">
        <v>12</v>
      </c>
      <c r="D26" s="33" t="s">
        <v>165</v>
      </c>
      <c r="E26" s="49">
        <v>805000</v>
      </c>
      <c r="F26" s="49">
        <v>805000</v>
      </c>
      <c r="G26" s="172">
        <v>805000</v>
      </c>
      <c r="H26" s="49">
        <v>0</v>
      </c>
      <c r="I26" s="35">
        <v>1</v>
      </c>
      <c r="J26" s="34" t="s">
        <v>26</v>
      </c>
      <c r="K26" s="63" t="s">
        <v>98</v>
      </c>
      <c r="L26" s="36" t="s">
        <v>126</v>
      </c>
      <c r="M26" s="37" t="s">
        <v>70</v>
      </c>
      <c r="N26" s="61"/>
    </row>
    <row r="27" spans="1:14" ht="30" x14ac:dyDescent="0.25">
      <c r="A27" s="26" t="s">
        <v>83</v>
      </c>
      <c r="B27" s="77" t="s">
        <v>131</v>
      </c>
      <c r="C27" s="104" t="s">
        <v>12</v>
      </c>
      <c r="D27" s="30" t="s">
        <v>154</v>
      </c>
      <c r="E27" s="176">
        <f>416398*7.6</f>
        <v>3164624.8</v>
      </c>
      <c r="F27" s="176" t="s">
        <v>197</v>
      </c>
      <c r="G27" s="179" t="s">
        <v>198</v>
      </c>
      <c r="H27" s="48">
        <f>F27-G27</f>
        <v>151839.44999999995</v>
      </c>
      <c r="I27" s="97">
        <v>0.85</v>
      </c>
      <c r="J27" s="115" t="s">
        <v>13</v>
      </c>
      <c r="K27" s="63" t="s">
        <v>98</v>
      </c>
      <c r="L27" s="114" t="s">
        <v>130</v>
      </c>
      <c r="M27" s="24" t="s">
        <v>0</v>
      </c>
      <c r="N27" s="61"/>
    </row>
    <row r="28" spans="1:14" ht="45" x14ac:dyDescent="0.25">
      <c r="A28" s="20" t="s">
        <v>84</v>
      </c>
      <c r="B28" s="87" t="s">
        <v>132</v>
      </c>
      <c r="C28" s="105" t="s">
        <v>156</v>
      </c>
      <c r="D28" s="78" t="s">
        <v>155</v>
      </c>
      <c r="E28" s="176">
        <v>506670.6</v>
      </c>
      <c r="F28" s="176">
        <v>506670.6</v>
      </c>
      <c r="G28" s="157">
        <v>430670.01</v>
      </c>
      <c r="H28" s="48">
        <f>F28-G28</f>
        <v>76000.589999999967</v>
      </c>
      <c r="I28" s="88">
        <v>0.85</v>
      </c>
      <c r="J28" s="113" t="s">
        <v>26</v>
      </c>
      <c r="K28" s="63" t="s">
        <v>98</v>
      </c>
      <c r="L28" s="133" t="s">
        <v>133</v>
      </c>
      <c r="M28" s="24" t="s">
        <v>0</v>
      </c>
      <c r="N28" s="61"/>
    </row>
    <row r="29" spans="1:14" ht="45" x14ac:dyDescent="0.25">
      <c r="A29" s="20" t="s">
        <v>90</v>
      </c>
      <c r="B29" s="79" t="s">
        <v>134</v>
      </c>
      <c r="C29" s="71" t="s">
        <v>12</v>
      </c>
      <c r="D29" s="89" t="s">
        <v>157</v>
      </c>
      <c r="E29" s="165">
        <v>12513900.91</v>
      </c>
      <c r="F29" s="165">
        <v>12513900.91</v>
      </c>
      <c r="G29" s="158">
        <v>11719332.359999999</v>
      </c>
      <c r="H29" s="48">
        <f>F29-G29</f>
        <v>794568.55000000075</v>
      </c>
      <c r="I29" s="90">
        <v>0.99</v>
      </c>
      <c r="J29" s="115" t="s">
        <v>13</v>
      </c>
      <c r="K29" s="63" t="s">
        <v>98</v>
      </c>
      <c r="L29" s="72" t="s">
        <v>135</v>
      </c>
      <c r="M29" s="24" t="s">
        <v>0</v>
      </c>
      <c r="N29" s="61"/>
    </row>
    <row r="30" spans="1:14" ht="45" x14ac:dyDescent="0.25">
      <c r="A30" s="124" t="s">
        <v>127</v>
      </c>
      <c r="B30" s="80" t="s">
        <v>194</v>
      </c>
      <c r="C30" s="121" t="s">
        <v>12</v>
      </c>
      <c r="D30" s="122" t="s">
        <v>158</v>
      </c>
      <c r="E30" s="148">
        <v>2487200</v>
      </c>
      <c r="F30" s="148">
        <v>2487200</v>
      </c>
      <c r="G30" s="159">
        <v>2487200</v>
      </c>
      <c r="H30" s="162" t="s">
        <v>195</v>
      </c>
      <c r="I30" s="81">
        <v>1</v>
      </c>
      <c r="J30" s="115" t="s">
        <v>13</v>
      </c>
      <c r="K30" s="98" t="s">
        <v>98</v>
      </c>
      <c r="L30" s="73" t="s">
        <v>152</v>
      </c>
      <c r="M30" s="116" t="s">
        <v>71</v>
      </c>
      <c r="N30" s="61"/>
    </row>
    <row r="31" spans="1:14" ht="236.25" customHeight="1" x14ac:dyDescent="0.25">
      <c r="A31" s="125" t="s">
        <v>128</v>
      </c>
      <c r="B31" s="82" t="s">
        <v>160</v>
      </c>
      <c r="C31" s="106" t="s">
        <v>166</v>
      </c>
      <c r="D31" s="83" t="s">
        <v>159</v>
      </c>
      <c r="E31" s="160">
        <f>1364216*7.6</f>
        <v>10368041.6</v>
      </c>
      <c r="F31" s="161">
        <f>73938*7.6</f>
        <v>561928.79999999993</v>
      </c>
      <c r="G31" s="163">
        <f>73938*7.6</f>
        <v>561928.79999999993</v>
      </c>
      <c r="H31" s="149">
        <v>0</v>
      </c>
      <c r="I31" s="81">
        <v>1</v>
      </c>
      <c r="J31" s="153" t="s">
        <v>13</v>
      </c>
      <c r="K31" s="118" t="s">
        <v>98</v>
      </c>
      <c r="L31" s="72" t="s">
        <v>136</v>
      </c>
      <c r="M31" s="37" t="s">
        <v>70</v>
      </c>
      <c r="N31" s="61"/>
    </row>
    <row r="32" spans="1:14" ht="60" x14ac:dyDescent="0.25">
      <c r="A32" s="127" t="s">
        <v>129</v>
      </c>
      <c r="B32" s="84" t="s">
        <v>137</v>
      </c>
      <c r="C32" s="121" t="s">
        <v>12</v>
      </c>
      <c r="D32" s="83"/>
      <c r="E32" s="160">
        <v>9368947.9299999997</v>
      </c>
      <c r="F32" s="160">
        <v>9368947.9299999997</v>
      </c>
      <c r="G32" s="166">
        <v>9368947.9299999997</v>
      </c>
      <c r="H32" s="167">
        <v>0</v>
      </c>
      <c r="I32" s="119">
        <v>1</v>
      </c>
      <c r="J32" s="61" t="s">
        <v>26</v>
      </c>
      <c r="K32" s="24" t="s">
        <v>98</v>
      </c>
      <c r="L32" s="72" t="s">
        <v>138</v>
      </c>
      <c r="M32" s="37" t="s">
        <v>70</v>
      </c>
      <c r="N32" s="61"/>
    </row>
    <row r="33" spans="1:14" ht="45" x14ac:dyDescent="0.25">
      <c r="A33" s="61" t="s">
        <v>167</v>
      </c>
      <c r="B33" s="126" t="s">
        <v>139</v>
      </c>
      <c r="C33" s="121" t="s">
        <v>12</v>
      </c>
      <c r="D33" s="122" t="s">
        <v>190</v>
      </c>
      <c r="E33" s="148">
        <v>2344558</v>
      </c>
      <c r="F33" s="148">
        <v>2344558</v>
      </c>
      <c r="G33" s="147">
        <v>1992874.3</v>
      </c>
      <c r="H33" s="48">
        <f t="shared" ref="H33:H38" si="0">F33-G33</f>
        <v>351683.69999999995</v>
      </c>
      <c r="I33" s="112">
        <v>0.9</v>
      </c>
      <c r="J33" s="61" t="s">
        <v>13</v>
      </c>
      <c r="K33" s="24" t="s">
        <v>98</v>
      </c>
      <c r="L33" s="72" t="s">
        <v>140</v>
      </c>
      <c r="M33" s="7" t="s">
        <v>69</v>
      </c>
      <c r="N33" s="61"/>
    </row>
    <row r="34" spans="1:14" ht="45" x14ac:dyDescent="0.25">
      <c r="A34" s="61" t="s">
        <v>168</v>
      </c>
      <c r="B34" s="126" t="s">
        <v>141</v>
      </c>
      <c r="C34" s="107" t="s">
        <v>191</v>
      </c>
      <c r="D34" s="122" t="s">
        <v>192</v>
      </c>
      <c r="E34" s="148">
        <f>360369.16*7.6</f>
        <v>2738805.6159999995</v>
      </c>
      <c r="F34" s="151">
        <v>158410.068</v>
      </c>
      <c r="G34" s="152">
        <v>134648.5595</v>
      </c>
      <c r="H34" s="48">
        <f t="shared" si="0"/>
        <v>23761.508499999996</v>
      </c>
      <c r="I34" s="120">
        <v>0.85</v>
      </c>
      <c r="J34" s="61" t="s">
        <v>13</v>
      </c>
      <c r="K34" s="24" t="s">
        <v>98</v>
      </c>
      <c r="L34" s="72" t="s">
        <v>142</v>
      </c>
      <c r="M34" s="24" t="s">
        <v>0</v>
      </c>
      <c r="N34" s="61"/>
    </row>
    <row r="35" spans="1:14" ht="45" x14ac:dyDescent="0.25">
      <c r="A35" t="s">
        <v>169</v>
      </c>
      <c r="B35" s="76" t="s">
        <v>143</v>
      </c>
      <c r="C35" s="121" t="s">
        <v>12</v>
      </c>
      <c r="D35" s="85">
        <v>241960</v>
      </c>
      <c r="E35" s="174">
        <v>241960</v>
      </c>
      <c r="F35" s="174">
        <v>241960</v>
      </c>
      <c r="G35" s="150">
        <v>205666</v>
      </c>
      <c r="H35" s="48">
        <f t="shared" si="0"/>
        <v>36294</v>
      </c>
      <c r="I35" s="120">
        <v>0.85</v>
      </c>
      <c r="J35" s="61" t="s">
        <v>26</v>
      </c>
      <c r="K35" s="24" t="s">
        <v>98</v>
      </c>
      <c r="L35" s="72" t="s">
        <v>144</v>
      </c>
      <c r="M35" s="24" t="s">
        <v>0</v>
      </c>
      <c r="N35" s="61"/>
    </row>
    <row r="36" spans="1:14" ht="45" x14ac:dyDescent="0.25">
      <c r="A36" t="s">
        <v>170</v>
      </c>
      <c r="B36" s="86" t="s">
        <v>193</v>
      </c>
      <c r="C36" s="75" t="s">
        <v>161</v>
      </c>
      <c r="D36" s="85" t="s">
        <v>162</v>
      </c>
      <c r="E36" s="174">
        <v>507866</v>
      </c>
      <c r="F36" s="174">
        <v>507866</v>
      </c>
      <c r="G36" s="150">
        <v>507866</v>
      </c>
      <c r="H36" s="48">
        <f t="shared" si="0"/>
        <v>0</v>
      </c>
      <c r="I36" s="120">
        <v>1</v>
      </c>
      <c r="J36" s="136" t="s">
        <v>13</v>
      </c>
      <c r="K36" s="24" t="s">
        <v>98</v>
      </c>
      <c r="L36" s="72" t="s">
        <v>145</v>
      </c>
      <c r="M36" s="116" t="s">
        <v>71</v>
      </c>
      <c r="N36" s="61"/>
    </row>
    <row r="37" spans="1:14" ht="45" x14ac:dyDescent="0.25">
      <c r="A37" t="s">
        <v>171</v>
      </c>
      <c r="B37" s="74" t="s">
        <v>146</v>
      </c>
      <c r="C37" s="107" t="s">
        <v>164</v>
      </c>
      <c r="D37" s="135" t="s">
        <v>163</v>
      </c>
      <c r="E37" s="154">
        <v>2248234</v>
      </c>
      <c r="F37" s="154">
        <v>2248234</v>
      </c>
      <c r="G37" s="155">
        <v>1910998.9</v>
      </c>
      <c r="H37" s="48">
        <f t="shared" si="0"/>
        <v>337235.10000000009</v>
      </c>
      <c r="I37" s="137">
        <v>0.85</v>
      </c>
      <c r="J37" s="136" t="s">
        <v>13</v>
      </c>
      <c r="K37" s="118" t="s">
        <v>98</v>
      </c>
      <c r="L37" s="138" t="s">
        <v>147</v>
      </c>
      <c r="M37" s="7" t="s">
        <v>69</v>
      </c>
      <c r="N37" s="61"/>
    </row>
    <row r="38" spans="1:14" ht="60" x14ac:dyDescent="0.25">
      <c r="A38" s="61" t="s">
        <v>172</v>
      </c>
      <c r="B38" s="168" t="s">
        <v>148</v>
      </c>
      <c r="C38" s="169" t="s">
        <v>153</v>
      </c>
      <c r="D38" s="170"/>
      <c r="E38" s="175">
        <v>323412.09999999998</v>
      </c>
      <c r="F38" s="156">
        <v>323412.09999999998</v>
      </c>
      <c r="G38" s="178">
        <v>274900.28499999997</v>
      </c>
      <c r="H38" s="171">
        <f t="shared" si="0"/>
        <v>48511.815000000002</v>
      </c>
      <c r="I38" s="197">
        <v>0.85</v>
      </c>
      <c r="J38" s="61" t="s">
        <v>26</v>
      </c>
      <c r="K38" s="24" t="s">
        <v>98</v>
      </c>
      <c r="L38" s="72" t="s">
        <v>196</v>
      </c>
      <c r="M38" s="24" t="s">
        <v>0</v>
      </c>
      <c r="N38" s="61"/>
    </row>
    <row r="39" spans="1:14" ht="45" x14ac:dyDescent="0.25">
      <c r="A39" s="195" t="s">
        <v>220</v>
      </c>
      <c r="B39" s="180" t="s">
        <v>221</v>
      </c>
      <c r="C39" s="196" t="s">
        <v>12</v>
      </c>
      <c r="D39" s="226" t="s">
        <v>219</v>
      </c>
      <c r="E39" s="175">
        <v>915655.85</v>
      </c>
      <c r="F39" s="156">
        <v>915655.85</v>
      </c>
      <c r="G39" s="178">
        <v>915655.85</v>
      </c>
      <c r="H39" s="227">
        <v>0</v>
      </c>
      <c r="I39" s="197">
        <v>1</v>
      </c>
      <c r="J39" s="136" t="s">
        <v>13</v>
      </c>
      <c r="K39" s="118" t="s">
        <v>98</v>
      </c>
      <c r="L39" s="138" t="s">
        <v>222</v>
      </c>
      <c r="M39" s="116" t="s">
        <v>71</v>
      </c>
      <c r="N39" s="136"/>
    </row>
    <row r="40" spans="1:14" ht="165" x14ac:dyDescent="0.25">
      <c r="A40" s="195" t="s">
        <v>244</v>
      </c>
      <c r="B40" s="208" t="s">
        <v>89</v>
      </c>
      <c r="C40" s="208" t="s">
        <v>41</v>
      </c>
      <c r="D40" s="208" t="s">
        <v>42</v>
      </c>
      <c r="E40" s="228">
        <f xml:space="preserve"> 1995060.13*7.6</f>
        <v>15162456.987999998</v>
      </c>
      <c r="F40" s="228">
        <f>108580*7.6</f>
        <v>825208</v>
      </c>
      <c r="G40" s="229">
        <v>701426.8</v>
      </c>
      <c r="H40" s="228">
        <v>123781.2</v>
      </c>
      <c r="I40" s="217">
        <v>0.85</v>
      </c>
      <c r="J40" s="218" t="s">
        <v>13</v>
      </c>
      <c r="K40" s="118" t="s">
        <v>98</v>
      </c>
      <c r="L40" s="208" t="s">
        <v>245</v>
      </c>
      <c r="M40" s="230" t="s">
        <v>71</v>
      </c>
      <c r="N40" s="230"/>
    </row>
    <row r="41" spans="1:14" ht="120" x14ac:dyDescent="0.25">
      <c r="A41" s="195" t="s">
        <v>272</v>
      </c>
      <c r="B41" s="283" t="s">
        <v>51</v>
      </c>
      <c r="C41" s="5" t="s">
        <v>12</v>
      </c>
      <c r="D41" s="5" t="s">
        <v>52</v>
      </c>
      <c r="E41" s="51">
        <v>11053639.199999999</v>
      </c>
      <c r="F41" s="51">
        <v>11053639.199999999</v>
      </c>
      <c r="G41" s="50">
        <v>9395593.3200000003</v>
      </c>
      <c r="H41" s="51">
        <v>1658045.88</v>
      </c>
      <c r="I41" s="6">
        <v>0.85</v>
      </c>
      <c r="J41" s="218" t="s">
        <v>13</v>
      </c>
      <c r="K41" s="118" t="s">
        <v>98</v>
      </c>
      <c r="L41" s="5" t="s">
        <v>254</v>
      </c>
      <c r="M41" s="7" t="s">
        <v>69</v>
      </c>
      <c r="N41" s="7"/>
    </row>
    <row r="42" spans="1:14" ht="60" x14ac:dyDescent="0.25">
      <c r="A42" s="195" t="s">
        <v>273</v>
      </c>
      <c r="B42" s="283" t="s">
        <v>231</v>
      </c>
      <c r="C42" s="5" t="s">
        <v>12</v>
      </c>
      <c r="D42" s="5"/>
      <c r="E42" s="51">
        <v>5357161.25</v>
      </c>
      <c r="F42" s="51">
        <v>5357161.25</v>
      </c>
      <c r="G42" s="50">
        <v>3237867.37</v>
      </c>
      <c r="H42" s="51">
        <v>2119293.88</v>
      </c>
      <c r="I42" s="8">
        <v>0.6</v>
      </c>
      <c r="J42" s="238" t="s">
        <v>19</v>
      </c>
      <c r="K42" s="239" t="s">
        <v>98</v>
      </c>
      <c r="L42" s="238" t="s">
        <v>253</v>
      </c>
      <c r="M42" s="37" t="s">
        <v>70</v>
      </c>
      <c r="N42" s="37"/>
    </row>
    <row r="43" spans="1:14" ht="30" x14ac:dyDescent="0.25">
      <c r="A43" s="195" t="s">
        <v>274</v>
      </c>
      <c r="B43" s="284" t="s">
        <v>34</v>
      </c>
      <c r="C43" s="67" t="s">
        <v>35</v>
      </c>
      <c r="D43" s="67" t="s">
        <v>12</v>
      </c>
      <c r="E43" s="129">
        <f>5861187*7.6</f>
        <v>44545021.199999996</v>
      </c>
      <c r="F43" s="129">
        <f>471705*7.6</f>
        <v>3584958</v>
      </c>
      <c r="G43" s="129">
        <f>283023*7.6</f>
        <v>2150974.7999999998</v>
      </c>
      <c r="H43" s="129">
        <f>188682*7.6</f>
        <v>1433983.2</v>
      </c>
      <c r="I43" s="264">
        <v>0.6</v>
      </c>
      <c r="J43" s="265" t="s">
        <v>13</v>
      </c>
      <c r="K43" s="239" t="s">
        <v>98</v>
      </c>
      <c r="L43" s="242" t="s">
        <v>257</v>
      </c>
      <c r="M43" s="242" t="s">
        <v>0</v>
      </c>
      <c r="N43" s="242"/>
    </row>
    <row r="44" spans="1:14" ht="225" x14ac:dyDescent="0.25">
      <c r="A44" s="195" t="s">
        <v>275</v>
      </c>
      <c r="B44" s="284" t="s">
        <v>37</v>
      </c>
      <c r="C44" s="67" t="s">
        <v>38</v>
      </c>
      <c r="D44" s="67" t="s">
        <v>39</v>
      </c>
      <c r="E44" s="129">
        <f>1846346.45*7.6</f>
        <v>14032233.02</v>
      </c>
      <c r="F44" s="129">
        <f>157190.4*7.6</f>
        <v>1194647.0399999998</v>
      </c>
      <c r="G44" s="129">
        <f>133611.84*7.6</f>
        <v>1015449.9839999999</v>
      </c>
      <c r="H44" s="129">
        <v>71678.822399999946</v>
      </c>
      <c r="I44" s="68">
        <v>0.85</v>
      </c>
      <c r="J44" s="249" t="s">
        <v>13</v>
      </c>
      <c r="K44" s="239" t="s">
        <v>98</v>
      </c>
      <c r="L44" s="67" t="s">
        <v>258</v>
      </c>
      <c r="M44" s="242" t="s">
        <v>0</v>
      </c>
      <c r="N44" s="123" t="s">
        <v>200</v>
      </c>
    </row>
    <row r="45" spans="1:14" ht="105" x14ac:dyDescent="0.25">
      <c r="A45" s="195" t="s">
        <v>276</v>
      </c>
      <c r="B45" s="285" t="s">
        <v>54</v>
      </c>
      <c r="C45" s="4" t="s">
        <v>12</v>
      </c>
      <c r="D45" s="4"/>
      <c r="E45" s="52">
        <v>11355932.34</v>
      </c>
      <c r="F45" s="52">
        <v>11355932.34</v>
      </c>
      <c r="G45" s="53">
        <v>6836900.3200000003</v>
      </c>
      <c r="H45" s="52">
        <v>2259516.0099999998</v>
      </c>
      <c r="I45" s="8">
        <v>0.6</v>
      </c>
      <c r="J45" s="38" t="s">
        <v>26</v>
      </c>
      <c r="K45" s="239" t="s">
        <v>98</v>
      </c>
      <c r="L45" s="205" t="s">
        <v>269</v>
      </c>
      <c r="M45" s="37" t="s">
        <v>70</v>
      </c>
      <c r="N45" s="123" t="s">
        <v>289</v>
      </c>
    </row>
    <row r="46" spans="1:14" ht="105" x14ac:dyDescent="0.25">
      <c r="A46" s="195" t="s">
        <v>277</v>
      </c>
      <c r="B46" s="285" t="s">
        <v>56</v>
      </c>
      <c r="C46" s="4" t="s">
        <v>12</v>
      </c>
      <c r="D46" s="4"/>
      <c r="E46" s="52">
        <v>1587101.88</v>
      </c>
      <c r="F46" s="52">
        <v>1587101.88</v>
      </c>
      <c r="G46" s="53">
        <v>972350.49</v>
      </c>
      <c r="H46" s="52">
        <v>307375.7</v>
      </c>
      <c r="I46" s="55">
        <v>0.6</v>
      </c>
      <c r="J46" s="57" t="s">
        <v>26</v>
      </c>
      <c r="K46" s="239" t="s">
        <v>98</v>
      </c>
      <c r="L46" s="205" t="s">
        <v>270</v>
      </c>
      <c r="M46" s="37" t="s">
        <v>70</v>
      </c>
      <c r="N46" s="123" t="s">
        <v>288</v>
      </c>
    </row>
    <row r="47" spans="1:14" ht="105" x14ac:dyDescent="0.25">
      <c r="A47" s="195" t="s">
        <v>278</v>
      </c>
      <c r="B47" s="283" t="s">
        <v>79</v>
      </c>
      <c r="C47" s="5" t="s">
        <v>12</v>
      </c>
      <c r="D47" s="58"/>
      <c r="E47" s="39">
        <v>2695410.36</v>
      </c>
      <c r="F47" s="39">
        <v>2695410.36</v>
      </c>
      <c r="G47" s="40">
        <v>1637810.58</v>
      </c>
      <c r="H47" s="39">
        <v>528799.89</v>
      </c>
      <c r="I47" s="295">
        <v>0.6</v>
      </c>
      <c r="J47" s="296" t="s">
        <v>26</v>
      </c>
      <c r="K47" s="239" t="s">
        <v>98</v>
      </c>
      <c r="L47" s="5" t="s">
        <v>271</v>
      </c>
      <c r="M47" s="297" t="s">
        <v>70</v>
      </c>
      <c r="N47" s="298" t="s">
        <v>287</v>
      </c>
    </row>
    <row r="48" spans="1:14" ht="75" x14ac:dyDescent="0.25">
      <c r="A48" s="294" t="s">
        <v>299</v>
      </c>
      <c r="B48" s="287" t="s">
        <v>298</v>
      </c>
      <c r="C48" s="278" t="s">
        <v>297</v>
      </c>
      <c r="D48" s="274" t="s">
        <v>300</v>
      </c>
      <c r="E48" s="302" t="s">
        <v>301</v>
      </c>
      <c r="F48" s="302">
        <v>0</v>
      </c>
      <c r="G48" s="303">
        <v>0</v>
      </c>
      <c r="H48" s="302">
        <v>0</v>
      </c>
      <c r="I48" s="304">
        <v>1</v>
      </c>
      <c r="J48" s="57" t="s">
        <v>13</v>
      </c>
      <c r="K48" s="239" t="s">
        <v>98</v>
      </c>
      <c r="L48" s="287" t="s">
        <v>302</v>
      </c>
      <c r="M48" s="230" t="s">
        <v>71</v>
      </c>
      <c r="N48" s="123"/>
    </row>
    <row r="49" spans="1:15" ht="45" x14ac:dyDescent="0.25">
      <c r="A49" s="311" t="s">
        <v>307</v>
      </c>
      <c r="B49" s="208" t="s">
        <v>215</v>
      </c>
      <c r="C49" s="282" t="s">
        <v>12</v>
      </c>
      <c r="D49" s="215" t="s">
        <v>219</v>
      </c>
      <c r="E49" s="209">
        <v>693527.63</v>
      </c>
      <c r="F49" s="209">
        <v>693527.63</v>
      </c>
      <c r="G49" s="289">
        <v>693527.63</v>
      </c>
      <c r="H49" s="216">
        <v>0</v>
      </c>
      <c r="I49" s="217">
        <v>1</v>
      </c>
      <c r="J49" s="218" t="s">
        <v>13</v>
      </c>
      <c r="K49" s="239" t="s">
        <v>98</v>
      </c>
      <c r="L49" s="219" t="s">
        <v>318</v>
      </c>
      <c r="M49" s="213" t="s">
        <v>71</v>
      </c>
      <c r="N49" s="213"/>
    </row>
    <row r="50" spans="1:15" ht="90" x14ac:dyDescent="0.25">
      <c r="A50" s="195" t="s">
        <v>314</v>
      </c>
      <c r="B50" s="278" t="s">
        <v>85</v>
      </c>
      <c r="C50" s="278" t="s">
        <v>65</v>
      </c>
      <c r="D50" s="278"/>
      <c r="E50" s="280">
        <v>19900000</v>
      </c>
      <c r="F50" s="280">
        <v>3990000</v>
      </c>
      <c r="G50" s="279">
        <v>3990000</v>
      </c>
      <c r="H50" s="308">
        <v>13684340.779999999</v>
      </c>
      <c r="I50" s="275">
        <v>0.2</v>
      </c>
      <c r="J50" s="276" t="s">
        <v>26</v>
      </c>
      <c r="K50" s="239" t="s">
        <v>98</v>
      </c>
      <c r="L50" s="286" t="s">
        <v>319</v>
      </c>
      <c r="M50" s="286" t="s">
        <v>0</v>
      </c>
      <c r="N50" s="123" t="s">
        <v>322</v>
      </c>
      <c r="O50" s="61" t="s">
        <v>336</v>
      </c>
    </row>
    <row r="51" spans="1:15" ht="90" x14ac:dyDescent="0.25">
      <c r="A51" s="312" t="s">
        <v>315</v>
      </c>
      <c r="B51" s="251" t="s">
        <v>25</v>
      </c>
      <c r="C51" s="251" t="s">
        <v>12</v>
      </c>
      <c r="D51" s="252"/>
      <c r="E51" s="253">
        <v>3916147.84</v>
      </c>
      <c r="F51" s="253">
        <v>3916147.84</v>
      </c>
      <c r="G51" s="250">
        <v>3271042.58</v>
      </c>
      <c r="H51" s="250">
        <v>645105.26</v>
      </c>
      <c r="I51" s="254">
        <v>0.85</v>
      </c>
      <c r="J51" s="255" t="s">
        <v>26</v>
      </c>
      <c r="K51" s="239" t="s">
        <v>98</v>
      </c>
      <c r="L51" s="242" t="s">
        <v>320</v>
      </c>
      <c r="M51" s="242" t="s">
        <v>0</v>
      </c>
      <c r="N51" s="123" t="s">
        <v>322</v>
      </c>
      <c r="O51" s="61" t="s">
        <v>337</v>
      </c>
    </row>
    <row r="52" spans="1:15" ht="90" x14ac:dyDescent="0.25">
      <c r="A52" s="312" t="s">
        <v>316</v>
      </c>
      <c r="B52" s="243" t="s">
        <v>28</v>
      </c>
      <c r="C52" s="244" t="s">
        <v>12</v>
      </c>
      <c r="D52" s="242"/>
      <c r="E52" s="256">
        <v>10035518</v>
      </c>
      <c r="F52" s="241">
        <v>10035518</v>
      </c>
      <c r="G52" s="240">
        <v>8530190.3000000007</v>
      </c>
      <c r="H52" s="240">
        <v>1505327.7</v>
      </c>
      <c r="I52" s="257">
        <v>0.85</v>
      </c>
      <c r="J52" s="246" t="s">
        <v>26</v>
      </c>
      <c r="K52" s="239" t="s">
        <v>98</v>
      </c>
      <c r="L52" s="242" t="s">
        <v>320</v>
      </c>
      <c r="M52" s="242" t="s">
        <v>0</v>
      </c>
      <c r="N52" s="123" t="s">
        <v>322</v>
      </c>
      <c r="O52" s="61" t="s">
        <v>337</v>
      </c>
    </row>
    <row r="53" spans="1:15" ht="60" x14ac:dyDescent="0.25">
      <c r="A53" s="312" t="s">
        <v>317</v>
      </c>
      <c r="B53" s="207" t="s">
        <v>91</v>
      </c>
      <c r="C53" s="207" t="s">
        <v>92</v>
      </c>
      <c r="D53" s="310" t="s">
        <v>93</v>
      </c>
      <c r="E53" s="209">
        <f>375390.5*7.6</f>
        <v>2852967.8</v>
      </c>
      <c r="F53" s="209">
        <f>62975*7.6</f>
        <v>478610</v>
      </c>
      <c r="G53" s="288">
        <f>46475*7.6</f>
        <v>353210</v>
      </c>
      <c r="H53" s="210">
        <f>16500*7.6</f>
        <v>125400</v>
      </c>
      <c r="I53" s="211">
        <v>0.7379</v>
      </c>
      <c r="J53" s="212" t="s">
        <v>13</v>
      </c>
      <c r="K53" s="239" t="s">
        <v>98</v>
      </c>
      <c r="L53" s="207" t="s">
        <v>324</v>
      </c>
      <c r="M53" s="309" t="s">
        <v>71</v>
      </c>
      <c r="N53" s="309"/>
    </row>
    <row r="54" spans="1:15" ht="75" x14ac:dyDescent="0.25">
      <c r="A54" s="311" t="s">
        <v>323</v>
      </c>
      <c r="B54" s="258" t="s">
        <v>30</v>
      </c>
      <c r="C54" s="259" t="s">
        <v>31</v>
      </c>
      <c r="D54" s="251" t="s">
        <v>32</v>
      </c>
      <c r="E54" s="260">
        <f>1364586.6*7.6</f>
        <v>10370858.16</v>
      </c>
      <c r="F54" s="260">
        <f>331927.8*7.6</f>
        <v>2522651.2799999998</v>
      </c>
      <c r="G54" s="307">
        <f>282138.63*7.6</f>
        <v>2144253.588</v>
      </c>
      <c r="H54" s="261">
        <f>49789.17*7.6</f>
        <v>378397.69199999998</v>
      </c>
      <c r="I54" s="262">
        <v>0.85</v>
      </c>
      <c r="J54" s="263" t="s">
        <v>13</v>
      </c>
      <c r="K54" s="239" t="s">
        <v>98</v>
      </c>
      <c r="L54" s="242" t="s">
        <v>321</v>
      </c>
      <c r="M54" s="242" t="s">
        <v>0</v>
      </c>
      <c r="N54" s="242"/>
    </row>
    <row r="55" spans="1:15" ht="19.5" thickBot="1" x14ac:dyDescent="0.35">
      <c r="B55" s="372" t="s">
        <v>96</v>
      </c>
      <c r="C55" s="373"/>
      <c r="D55" s="374"/>
      <c r="E55" s="198">
        <f>SUM(E9:E54)</f>
        <v>391563391.01399994</v>
      </c>
      <c r="F55" s="299">
        <f>SUM(F9:F54)</f>
        <v>230799640.38599998</v>
      </c>
      <c r="G55" s="300">
        <f>SUM(G9:G54)</f>
        <v>136393896.94649997</v>
      </c>
      <c r="H55" s="301">
        <f>SUM(H9:H54)</f>
        <v>53588066.977899998</v>
      </c>
    </row>
    <row r="58" spans="1:15" x14ac:dyDescent="0.25">
      <c r="M58" s="225"/>
    </row>
    <row r="59" spans="1:15" ht="31.5" customHeight="1" x14ac:dyDescent="0.5">
      <c r="A59" s="375" t="s">
        <v>206</v>
      </c>
      <c r="B59" s="376"/>
      <c r="C59" s="376"/>
      <c r="D59" s="376"/>
      <c r="E59" s="376"/>
      <c r="F59" s="376"/>
      <c r="G59" s="376"/>
      <c r="H59" s="376"/>
      <c r="I59" s="376"/>
      <c r="J59" s="376"/>
      <c r="M59" s="292"/>
    </row>
    <row r="60" spans="1:15" ht="47.25" x14ac:dyDescent="0.25">
      <c r="A60" s="182" t="s">
        <v>1</v>
      </c>
      <c r="B60" s="182" t="s">
        <v>2</v>
      </c>
      <c r="C60" s="182" t="s">
        <v>3</v>
      </c>
      <c r="D60" s="182" t="s">
        <v>207</v>
      </c>
      <c r="E60" s="183" t="s">
        <v>73</v>
      </c>
      <c r="F60" s="184" t="s">
        <v>86</v>
      </c>
      <c r="G60" s="184" t="s">
        <v>74</v>
      </c>
      <c r="H60" s="184" t="s">
        <v>75</v>
      </c>
      <c r="I60" s="185" t="s">
        <v>5</v>
      </c>
      <c r="J60" s="96" t="s">
        <v>151</v>
      </c>
      <c r="M60" s="232"/>
    </row>
    <row r="61" spans="1:15" ht="45" x14ac:dyDescent="0.25">
      <c r="A61" s="61" t="s">
        <v>60</v>
      </c>
      <c r="B61" s="123" t="s">
        <v>208</v>
      </c>
      <c r="C61" s="186" t="s">
        <v>153</v>
      </c>
      <c r="D61" s="123" t="s">
        <v>209</v>
      </c>
      <c r="E61" s="187">
        <v>6247208.46</v>
      </c>
      <c r="F61" s="187">
        <v>6247208.46</v>
      </c>
      <c r="G61" s="187">
        <v>3419197.08</v>
      </c>
      <c r="H61" s="187">
        <v>2828011.38</v>
      </c>
      <c r="I61" s="188">
        <v>0.54730000000000001</v>
      </c>
      <c r="J61" s="24" t="s">
        <v>0</v>
      </c>
      <c r="M61" s="233"/>
    </row>
    <row r="62" spans="1:15" ht="45" x14ac:dyDescent="0.25">
      <c r="A62" s="61" t="s">
        <v>10</v>
      </c>
      <c r="B62" s="30" t="s">
        <v>210</v>
      </c>
      <c r="C62" s="186" t="s">
        <v>153</v>
      </c>
      <c r="D62" s="123" t="s">
        <v>211</v>
      </c>
      <c r="E62" s="165">
        <v>817192.86</v>
      </c>
      <c r="F62" s="165">
        <v>817192.86</v>
      </c>
      <c r="G62" s="187">
        <v>392200</v>
      </c>
      <c r="H62" s="187">
        <v>424992.86</v>
      </c>
      <c r="I62" s="188">
        <v>0.47989999999999999</v>
      </c>
      <c r="J62" s="24" t="s">
        <v>0</v>
      </c>
    </row>
    <row r="63" spans="1:15" ht="45" x14ac:dyDescent="0.25">
      <c r="A63" s="61" t="s">
        <v>14</v>
      </c>
      <c r="B63" s="30" t="s">
        <v>212</v>
      </c>
      <c r="C63" s="186" t="s">
        <v>153</v>
      </c>
      <c r="D63" s="123" t="s">
        <v>211</v>
      </c>
      <c r="E63" s="189">
        <v>1053876.25</v>
      </c>
      <c r="F63" s="189">
        <v>1053876.25</v>
      </c>
      <c r="G63" s="187">
        <v>394000</v>
      </c>
      <c r="H63" s="187">
        <v>659876.25</v>
      </c>
      <c r="I63" s="188">
        <v>0.37390000000000001</v>
      </c>
      <c r="J63" s="24" t="s">
        <v>0</v>
      </c>
      <c r="M63" s="232"/>
    </row>
    <row r="64" spans="1:15" x14ac:dyDescent="0.25">
      <c r="B64" s="190"/>
      <c r="C64" s="190"/>
      <c r="D64" s="191" t="s">
        <v>213</v>
      </c>
      <c r="E64" s="192">
        <f>SUM(E61:E63)</f>
        <v>8118277.5700000003</v>
      </c>
      <c r="F64" s="192">
        <f>SUM(F61:F63)</f>
        <v>8118277.5700000003</v>
      </c>
      <c r="G64" s="192">
        <f>SUM(G61:G63)</f>
        <v>4205397.08</v>
      </c>
      <c r="H64" s="201">
        <f>SUM(H61:H63)</f>
        <v>3912880.4899999998</v>
      </c>
      <c r="I64" s="190"/>
      <c r="M64" s="232"/>
    </row>
    <row r="65" spans="2:13" x14ac:dyDescent="0.25">
      <c r="B65" s="190"/>
      <c r="C65" s="190"/>
      <c r="D65" s="190"/>
      <c r="E65" s="190"/>
      <c r="F65" s="190"/>
      <c r="G65" s="190"/>
      <c r="H65" s="203"/>
      <c r="I65" s="190"/>
      <c r="M65" s="232"/>
    </row>
    <row r="66" spans="2:13" x14ac:dyDescent="0.25">
      <c r="H66" s="204"/>
    </row>
    <row r="67" spans="2:13" ht="37.5" x14ac:dyDescent="0.3">
      <c r="D67" s="193" t="s">
        <v>214</v>
      </c>
      <c r="E67" s="194">
        <f>E55+E64</f>
        <v>399681668.58399993</v>
      </c>
      <c r="F67" s="200">
        <f>F55+F64</f>
        <v>238917917.95599997</v>
      </c>
      <c r="G67" s="199">
        <f>G55+G64</f>
        <v>140599294.02649999</v>
      </c>
      <c r="H67" s="202">
        <f>H55+H64</f>
        <v>57500947.467900001</v>
      </c>
    </row>
  </sheetData>
  <mergeCells count="3">
    <mergeCell ref="A1:M2"/>
    <mergeCell ref="B55:D55"/>
    <mergeCell ref="A59:J5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386DF2443D8EE419FC6253C2AF5476F" ma:contentTypeVersion="2" ma:contentTypeDescription="Create a new document." ma:contentTypeScope="" ma:versionID="690e447ecc813c56030844665cfd4f6f">
  <xsd:schema xmlns:xsd="http://www.w3.org/2001/XMLSchema" xmlns:xs="http://www.w3.org/2001/XMLSchema" xmlns:p="http://schemas.microsoft.com/office/2006/metadata/properties" xmlns:ns3="39bd9e27-be5f-4705-baaa-5a5ed2fc9268" targetNamespace="http://schemas.microsoft.com/office/2006/metadata/properties" ma:root="true" ma:fieldsID="3b32d2d084a367b60556b4d957e0fb6a" ns3:_="">
    <xsd:import namespace="39bd9e27-be5f-4705-baaa-5a5ed2fc9268"/>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bd9e27-be5f-4705-baaa-5a5ed2fc92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1DDCA0-9451-4DB0-9776-AC467A123D1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9bd9e27-be5f-4705-baaa-5a5ed2fc9268"/>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68174BD-961C-42AB-848E-E5DEED29EEFD}">
  <ds:schemaRefs>
    <ds:schemaRef ds:uri="http://schemas.microsoft.com/sharepoint/v3/contenttype/forms"/>
  </ds:schemaRefs>
</ds:datastoreItem>
</file>

<file path=customXml/itemProps3.xml><?xml version="1.0" encoding="utf-8"?>
<ds:datastoreItem xmlns:ds="http://schemas.openxmlformats.org/officeDocument/2006/customXml" ds:itemID="{A5BE4141-74FE-4739-AAAB-28FF2187CB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bd9e27-be5f-4705-baaa-5a5ed2fc92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Projekti u provedbi</vt:lpstr>
      <vt:lpstr>Završeni projekti</vt:lpstr>
    </vt:vector>
  </TitlesOfParts>
  <Company>GRAD OSIJEK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Brezovac</dc:creator>
  <cp:lastModifiedBy>Igor Galir</cp:lastModifiedBy>
  <dcterms:created xsi:type="dcterms:W3CDTF">2021-02-09T11:17:49Z</dcterms:created>
  <dcterms:modified xsi:type="dcterms:W3CDTF">2022-01-14T14:42:40Z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0x0101000386DF2443D8EE419FC6253C2AF5476F</vt:lpwstr>
  </property>
</Properties>
</file>